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comments5.xml" ContentType="application/vnd.openxmlformats-officedocument.spreadsheetml.comments+xml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drawings/vmlDrawing2.vml" ContentType="application/vnd.openxmlformats-officedocument.vmlDrawing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5.vml" ContentType="application/vnd.openxmlformats-officedocument.vmlDrawing"/>
  <Override PartName="/xl/drawings/drawing4.xml" ContentType="application/vnd.openxmlformats-officedocument.drawing+xml"/>
  <Override PartName="/xl/drawings/vmlDrawing6.vml" ContentType="application/vnd.openxmlformats-officedocument.vmlDrawing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comments6.xml" ContentType="application/vnd.openxmlformats-officedocument.spreadsheetml.comments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ог" sheetId="1" state="visible" r:id="rId3"/>
    <sheet name="Ход работы" sheetId="2" state="visible" r:id="rId4"/>
    <sheet name="Сверка" sheetId="3" state="visible" r:id="rId5"/>
    <sheet name="Причины" sheetId="4" state="visible" r:id="rId6"/>
    <sheet name="Справочник" sheetId="5" state="visible" r:id="rId7"/>
    <sheet name="Учёт" sheetId="6" state="visible" r:id="rId8"/>
    <sheet name="Инвентаризация" sheetId="7" state="visible" r:id="rId9"/>
    <sheet name="Как обновлять" sheetId="8" state="visible" r:id="rId10"/>
  </sheets>
  <definedNames>
    <definedName function="false" hidden="true" localSheetId="6" name="_xlnm._FilterDatabase" vbProcedure="false">Инвентаризация!$A$4:$G$91</definedName>
    <definedName function="false" hidden="true" localSheetId="2" name="_xlnm._FilterDatabase" vbProcedure="false">Сверка!$A$4:$L$76</definedName>
    <definedName function="false" hidden="true" localSheetId="5" name="_xlnm._FilterDatabase" vbProcedure="false">Учёт!$A$4:$F$77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9" authorId="0">
      <text>
        <r>
          <rPr>
            <sz val="10"/>
            <rFont val="Arial"/>
            <family val="2"/>
          </rPr>
          <t xml:space="preserve">Товар на месте, ошибка только в документах: упаковки вместо штук, перемещения без документа, вторая карточка, опечатка.</t>
        </r>
      </text>
    </comment>
    <comment ref="J9" authorId="0">
      <text>
        <r>
          <rPr>
            <sz val="10"/>
            <rFont val="Arial"/>
            <family val="2"/>
          </rPr>
          <t xml:space="preserve">Небольшие расхождения, у которых не нашлось причины. Их надо пересчитать.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4" authorId="0">
      <text>
        <r>
          <rPr>
            <sz val="10"/>
            <rFont val="Arial"/>
            <family val="2"/>
          </rPr>
          <t xml:space="preserve">Крупное = расхождение от порога на листе «Причины» (сейчас 50 €). Порог можно поменять.</t>
        </r>
      </text>
    </comment>
    <comment ref="K4" authorId="0">
      <text>
        <r>
          <rPr>
            <sz val="10"/>
            <rFont val="Arial"/>
            <family val="2"/>
          </rPr>
          <t xml:space="preserve">Причину я определял руками: смотрел накладные, перемещения и спрашивал у кладовщиков. Формулой это не найти.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Договорились с клиентом: всё, что больше 50 € по одной строке, разбираем в первую очередь.</t>
        </r>
      </text>
    </comment>
    <comment ref="F6" authorId="0">
      <text>
        <r>
          <rPr>
            <sz val="10"/>
            <rFont val="Arial"/>
            <family val="2"/>
          </rPr>
          <t xml:space="preserve">«Бумажная» = товар на месте, ошибка только в документах. Исправляется в учёте без потери денег.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Единый код придумал я: SD-001 и дальше. Он нужен, чтобы связать три системы, в которых у товара разные коды.</t>
        </r>
      </text>
    </comment>
    <comment ref="E4" authorId="0">
      <text>
        <r>
          <rPr>
            <sz val="10"/>
            <rFont val="Arial"/>
            <family val="2"/>
          </rPr>
          <t xml:space="preserve">В Тарту остатки считают в тетради и потом переносят в Excel по названиям. Названия собрал из их файлов как есть, с сокращениями.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" authorId="0">
      <text>
        <r>
          <rPr>
            <sz val="10"/>
            <rFont val="Arial"/>
            <family val="2"/>
          </rPr>
          <t xml:space="preserve">Ищу код программы в справочнике. Если не нашёлся, строка жёлтая: это либо новый товар, либо лишняя карточка.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Таллинн пишет артикул поставщика, Тарту название, Пярну код из учётной программы. Поэтому и нужен единый справочник.</t>
        </r>
      </text>
    </comment>
    <comment ref="G4" authorId="0">
      <text>
        <r>
          <rPr>
            <sz val="10"/>
            <rFont val="Arial"/>
            <family val="2"/>
          </rPr>
          <t xml:space="preserve">Если записано в упаковках (уп), умножаю на количество штук в упаковке из справочника.</t>
        </r>
      </text>
    </comment>
  </commentList>
</comments>
</file>

<file path=xl/sharedStrings.xml><?xml version="1.0" encoding="utf-8"?>
<sst xmlns="http://schemas.openxmlformats.org/spreadsheetml/2006/main" count="925" uniqueCount="289">
  <si>
    <t xml:space="preserve">Сверка остатков</t>
  </si>
  <si>
    <t xml:space="preserve">Пример 3 из 3, сложная задача. Selge Data, Станислав</t>
  </si>
  <si>
    <t xml:space="preserve">Задача</t>
  </si>
  <si>
    <t xml:space="preserve">Магазин хозтоваров: склад в Таллинне и два магазина в Тарту и Пярну. Остатки в учётной программе не совпадают с тем, что лежит на полках. У каждой точки свои коды и названия товаров, поэтому ежемесячная сверка занимала у бухгалтера 3–4 дня.</t>
  </si>
  <si>
    <t xml:space="preserve">Главные цифры</t>
  </si>
  <si>
    <t xml:space="preserve">Строк сверено (товар × склад)</t>
  </si>
  <si>
    <t xml:space="preserve">Сходится</t>
  </si>
  <si>
    <t xml:space="preserve">Расхождения по модулю</t>
  </si>
  <si>
    <t xml:space="preserve">Из них бумажные ошибки</t>
  </si>
  <si>
    <t xml:space="preserve">Не объяснено, €</t>
  </si>
  <si>
    <t xml:space="preserve">Итог</t>
  </si>
  <si>
    <t xml:space="preserve">Из 72 строк сверки расходятся 16. В сумме по модулю это около 1 038 €. Большая часть денег, около 74%, это бумажные ошибки: товар лежит на полке, а в учёте записано не то.</t>
  </si>
  <si>
    <t xml:space="preserve">Больше всего денег (384 €) дают перемещения без документа: товар просто переехал между складами, в одном месте его «не хватает», а в другом он «лишний». С учётом знака это ноль. На втором месте пересортица белой краски и слоновой кости (232 €).</t>
  </si>
  <si>
    <t xml:space="preserve">Приход в упаковках вместо штук нашёлся на всех трёх складах. Его легко не заметить: учёт показывает меньше, чем есть, и никто не ищет. Реально не хватает товара примерно на 38 €. Это мелочи: пересчитать и посмотреть, повторится ли в следующем месяце.</t>
  </si>
  <si>
    <t xml:space="preserve">Главный результат не сама сверка, а справочник и шаблон: следующую сверку бухгалтер сделает за пару часов. Инструкция на листе «Как обновлять».</t>
  </si>
  <si>
    <t xml:space="preserve">Как это выглядит</t>
  </si>
  <si>
    <t xml:space="preserve">Что рекомендую</t>
  </si>
  <si>
    <t xml:space="preserve">1. В учётной программе запретить приход без выбора единицы (шт или уп). Это закроет самую дорогую причину.</t>
  </si>
  <si>
    <t xml:space="preserve">2. Перемещение между складами только с документом, даже если везёт свой водитель.</t>
  </si>
  <si>
    <t xml:space="preserve">3. Удалить вторую карточку валика 100105-В и проверить, нет ли таких карточек у других товаров.</t>
  </si>
  <si>
    <t xml:space="preserve">4. Белую и слоновую кость поставить на разные полки или повесить ценники разного цвета.</t>
  </si>
  <si>
    <t xml:space="preserve">5. Сверку делать каждый месяц по этому шаблону. Справочник пополнять при каждом новом товаре.</t>
  </si>
  <si>
    <t xml:space="preserve">Ограничения</t>
  </si>
  <si>
    <t xml:space="preserve">• Сверка на одну дату (30.09.2025). Продажи в день пересчёта могли дать небольшую разницу.</t>
  </si>
  <si>
    <t xml:space="preserve">• Цены в € по закупке, а не по продаже. Потерянная выручка больше.</t>
  </si>
  <si>
    <t xml:space="preserve">Пример типичной задачи Selge Data. Компания и все данные вымышлены, совпадения случайны.</t>
  </si>
  <si>
    <t xml:space="preserve">Ход работы</t>
  </si>
  <si>
    <t xml:space="preserve">Проект шёл 3 недели, по этапам. После каждого этапа короткая встреча с клиентом</t>
  </si>
  <si>
    <t xml:space="preserve">Этап</t>
  </si>
  <si>
    <t xml:space="preserve">Что сделал</t>
  </si>
  <si>
    <t xml:space="preserve">Зачем</t>
  </si>
  <si>
    <t xml:space="preserve">Время</t>
  </si>
  <si>
    <t xml:space="preserve">Заметка</t>
  </si>
  <si>
    <t xml:space="preserve">Неделя 1. Пробный этап</t>
  </si>
  <si>
    <t xml:space="preserve">Взял одну категорию (краски) и прошёл весь путь на ней</t>
  </si>
  <si>
    <t xml:space="preserve">Понять масштаб и договориться о цене до основной работы</t>
  </si>
  <si>
    <t xml:space="preserve">Уже на красках нашлась пересортица белой и слоновой кости</t>
  </si>
  <si>
    <t xml:space="preserve">Неделя 1</t>
  </si>
  <si>
    <t xml:space="preserve">Встреча с клиентом: показал пробный результат</t>
  </si>
  <si>
    <t xml:space="preserve">Клиент видит, за что платит</t>
  </si>
  <si>
    <t xml:space="preserve">Договорились о пороге «крупного» расхождения: 50 €</t>
  </si>
  <si>
    <t xml:space="preserve">Неделя 2</t>
  </si>
  <si>
    <t xml:space="preserve">Собрал единый справочник: коды программы, артикулы Таллинна, названия Тарту</t>
  </si>
  <si>
    <t xml:space="preserve">Без этого три системы не сравнить</t>
  </si>
  <si>
    <t xml:space="preserve">Самая долгая часть. Названия Тарту сверял по их тетрадям</t>
  </si>
  <si>
    <t xml:space="preserve">Настроил листы «Учёт» и «Инвентаризация» с формулами поиска по справочнику</t>
  </si>
  <si>
    <t xml:space="preserve">Чтобы каждая строка сама находила единый код</t>
  </si>
  <si>
    <t xml:space="preserve">Пярну считает часть товара упаковками, добавил пересчёт в штуки</t>
  </si>
  <si>
    <t xml:space="preserve">Сверка: учёт против факта по каждому товару на каждом складе</t>
  </si>
  <si>
    <t xml:space="preserve">Найти все расхождения</t>
  </si>
  <si>
    <t xml:space="preserve">Неделя 3</t>
  </si>
  <si>
    <t xml:space="preserve">Разбор причин: накладные, перемещения, разговоры с кладовщиками</t>
  </si>
  <si>
    <t xml:space="preserve">Отличить бумажную ошибку от реальной недостачи</t>
  </si>
  <si>
    <t xml:space="preserve">Пена в Тарту: её привёз водитель, документа нет</t>
  </si>
  <si>
    <t xml:space="preserve">Проверка: каждое расхождение имеет причину, суммы сходятся</t>
  </si>
  <si>
    <t xml:space="preserve">Ничего не потерять</t>
  </si>
  <si>
    <t xml:space="preserve">Контроль на листе «Причины»</t>
  </si>
  <si>
    <t xml:space="preserve">Итог, графики, инструкция «Как обновлять»</t>
  </si>
  <si>
    <t xml:space="preserve">Чтобы клиент дальше справлялся сам</t>
  </si>
  <si>
    <t xml:space="preserve">Финальная встреча и обучение бухгалтера</t>
  </si>
  <si>
    <t xml:space="preserve">Передать шаблон в работу</t>
  </si>
  <si>
    <t xml:space="preserve">Бухгалтер сама прогнала пример обновления при мне</t>
  </si>
  <si>
    <t xml:space="preserve">Всего времени</t>
  </si>
  <si>
    <t xml:space="preserve">Сверка: учёт против полки</t>
  </si>
  <si>
    <t xml:space="preserve">Одна строка = один товар на одном складе. Разница = факт минус учёт</t>
  </si>
  <si>
    <t xml:space="preserve">Единый код</t>
  </si>
  <si>
    <t xml:space="preserve">Товар</t>
  </si>
  <si>
    <t xml:space="preserve">Склад</t>
  </si>
  <si>
    <t xml:space="preserve">Учёт, шт</t>
  </si>
  <si>
    <t xml:space="preserve">Факт, шт</t>
  </si>
  <si>
    <t xml:space="preserve">Разница, шт</t>
  </si>
  <si>
    <t xml:space="preserve">Цена за шт</t>
  </si>
  <si>
    <t xml:space="preserve">Разница, €</t>
  </si>
  <si>
    <t xml:space="preserve">|Разница|, €</t>
  </si>
  <si>
    <t xml:space="preserve">Статус</t>
  </si>
  <si>
    <t xml:space="preserve">Причина</t>
  </si>
  <si>
    <t xml:space="preserve">Что сделать</t>
  </si>
  <si>
    <t xml:space="preserve">SD-001</t>
  </si>
  <si>
    <t xml:space="preserve">Таллинн</t>
  </si>
  <si>
    <t xml:space="preserve">SD-002</t>
  </si>
  <si>
    <t xml:space="preserve">SD-003</t>
  </si>
  <si>
    <t xml:space="preserve">SD-004</t>
  </si>
  <si>
    <t xml:space="preserve">Перемещение без документа</t>
  </si>
  <si>
    <t xml:space="preserve">Оформить перемещение Таллинн → Пярну, 6 шт</t>
  </si>
  <si>
    <t xml:space="preserve">SD-005</t>
  </si>
  <si>
    <t xml:space="preserve">Вторая карточка товара в учёте</t>
  </si>
  <si>
    <t xml:space="preserve">Перенести 30 шт с карточки 100105-В и закрыть её</t>
  </si>
  <si>
    <t xml:space="preserve">SD-006</t>
  </si>
  <si>
    <t xml:space="preserve">SD-007</t>
  </si>
  <si>
    <t xml:space="preserve">SD-008</t>
  </si>
  <si>
    <t xml:space="preserve">SD-009</t>
  </si>
  <si>
    <t xml:space="preserve">SD-010</t>
  </si>
  <si>
    <t xml:space="preserve">SD-011</t>
  </si>
  <si>
    <t xml:space="preserve">SD-012</t>
  </si>
  <si>
    <t xml:space="preserve">SD-013</t>
  </si>
  <si>
    <t xml:space="preserve">SD-014</t>
  </si>
  <si>
    <t xml:space="preserve">SD-015</t>
  </si>
  <si>
    <t xml:space="preserve">Оформить перемещение Таллинн → Тарту, 24 шт</t>
  </si>
  <si>
    <t xml:space="preserve">SD-016</t>
  </si>
  <si>
    <t xml:space="preserve">SD-017</t>
  </si>
  <si>
    <t xml:space="preserve">SD-018</t>
  </si>
  <si>
    <t xml:space="preserve">Причина не найдена</t>
  </si>
  <si>
    <t xml:space="preserve">Пересчитать</t>
  </si>
  <si>
    <t xml:space="preserve">SD-019</t>
  </si>
  <si>
    <t xml:space="preserve">SD-020</t>
  </si>
  <si>
    <t xml:space="preserve">SD-021</t>
  </si>
  <si>
    <t xml:space="preserve">SD-022</t>
  </si>
  <si>
    <t xml:space="preserve">Приход оформлен в упаковках, а не в штуках</t>
  </si>
  <si>
    <t xml:space="preserve">Исправить приход: 3 уп. = 30 шт</t>
  </si>
  <si>
    <t xml:space="preserve">SD-023</t>
  </si>
  <si>
    <t xml:space="preserve">SD-024</t>
  </si>
  <si>
    <t xml:space="preserve">Тарту</t>
  </si>
  <si>
    <t xml:space="preserve">Пересортица похожих товаров</t>
  </si>
  <si>
    <t xml:space="preserve">Проверить полку: белую и слоновую кость ставят рядом</t>
  </si>
  <si>
    <t xml:space="preserve">Исправить приход: 2 уп. = 48 шт</t>
  </si>
  <si>
    <t xml:space="preserve">Ошибка ввода (перестановка цифр)</t>
  </si>
  <si>
    <t xml:space="preserve">Сверить с накладной: похоже, 58 записали как 85</t>
  </si>
  <si>
    <t xml:space="preserve">Пересчитать. Дорогой товар, держать ближе к кассе</t>
  </si>
  <si>
    <t xml:space="preserve">Пярну</t>
  </si>
  <si>
    <t xml:space="preserve">Исправить приход: 5 уп. = 60 шт</t>
  </si>
  <si>
    <t xml:space="preserve">Пересчитать. Если повторится, проверить брак и списания</t>
  </si>
  <si>
    <t xml:space="preserve">Причины расхождений</t>
  </si>
  <si>
    <t xml:space="preserve">Сколько строк и денег приходится на каждую причину</t>
  </si>
  <si>
    <t xml:space="preserve">Порог «крупного» расхождения</t>
  </si>
  <si>
    <t xml:space="preserve">Строк</t>
  </si>
  <si>
    <t xml:space="preserve">Сумма, € (с учётом знака)</t>
  </si>
  <si>
    <t xml:space="preserve">Сумма по модулю, €</t>
  </si>
  <si>
    <t xml:space="preserve">Бумажная ошибка?</t>
  </si>
  <si>
    <t xml:space="preserve">Расхождений</t>
  </si>
  <si>
    <t xml:space="preserve">да</t>
  </si>
  <si>
    <t xml:space="preserve">частично</t>
  </si>
  <si>
    <t xml:space="preserve">нет</t>
  </si>
  <si>
    <t xml:space="preserve">Итого</t>
  </si>
  <si>
    <t xml:space="preserve">Единый справочник товаров</t>
  </si>
  <si>
    <t xml:space="preserve">Главный лист проекта: какой код в какой системе означает один и тот же товар</t>
  </si>
  <si>
    <t xml:space="preserve">Код в учётной программе</t>
  </si>
  <si>
    <t xml:space="preserve">Артикул поставщика (Таллинн)</t>
  </si>
  <si>
    <t xml:space="preserve">Как записывают в Тарту</t>
  </si>
  <si>
    <t xml:space="preserve">Штук в упаковке</t>
  </si>
  <si>
    <t xml:space="preserve">Закупка за шт</t>
  </si>
  <si>
    <t xml:space="preserve">Краска интерьерная белая 9 л</t>
  </si>
  <si>
    <t xml:space="preserve">100101</t>
  </si>
  <si>
    <t xml:space="preserve">KR-3740</t>
  </si>
  <si>
    <t xml:space="preserve">краска белая 9л</t>
  </si>
  <si>
    <t xml:space="preserve">Краска интерьерная белая 2,7 л</t>
  </si>
  <si>
    <t xml:space="preserve">100102</t>
  </si>
  <si>
    <t xml:space="preserve">KR-4821</t>
  </si>
  <si>
    <t xml:space="preserve">краска белая 2.7л</t>
  </si>
  <si>
    <t xml:space="preserve">Краска интерьерная слоновая кость 2,7 л</t>
  </si>
  <si>
    <t xml:space="preserve">100103</t>
  </si>
  <si>
    <t xml:space="preserve">KR-5543</t>
  </si>
  <si>
    <t xml:space="preserve">краска сл.кость 2.7л</t>
  </si>
  <si>
    <t xml:space="preserve">Банки почти не отличаются от белой, путают на полке</t>
  </si>
  <si>
    <t xml:space="preserve">Грунтовка глубокого проникновения 5 л</t>
  </si>
  <si>
    <t xml:space="preserve">100104</t>
  </si>
  <si>
    <t xml:space="preserve">GR-8847</t>
  </si>
  <si>
    <t xml:space="preserve">грунт 5л</t>
  </si>
  <si>
    <t xml:space="preserve">Валик малярный 25 см</t>
  </si>
  <si>
    <t xml:space="preserve">100105</t>
  </si>
  <si>
    <t xml:space="preserve">VL-9727</t>
  </si>
  <si>
    <t xml:space="preserve">валик 25</t>
  </si>
  <si>
    <t xml:space="preserve">В учёте была вторая карточка 100105-В, см. «Причины»</t>
  </si>
  <si>
    <t xml:space="preserve">Кисть плоская 50 мм</t>
  </si>
  <si>
    <t xml:space="preserve">100106</t>
  </si>
  <si>
    <t xml:space="preserve">KS-9640</t>
  </si>
  <si>
    <t xml:space="preserve">кисть 50мм</t>
  </si>
  <si>
    <t xml:space="preserve">Малярный скотч 48 мм</t>
  </si>
  <si>
    <t xml:space="preserve">100107</t>
  </si>
  <si>
    <t xml:space="preserve">SK-4055</t>
  </si>
  <si>
    <t xml:space="preserve">скотч малярный</t>
  </si>
  <si>
    <t xml:space="preserve">Перчатки рабочие, пара</t>
  </si>
  <si>
    <t xml:space="preserve">100108</t>
  </si>
  <si>
    <t xml:space="preserve">PR-9247</t>
  </si>
  <si>
    <t xml:space="preserve">перчатки</t>
  </si>
  <si>
    <t xml:space="preserve">Саморезы 4×40, коробка 200 шт</t>
  </si>
  <si>
    <t xml:space="preserve">100109</t>
  </si>
  <si>
    <t xml:space="preserve">SM-6259</t>
  </si>
  <si>
    <t xml:space="preserve">саморезы 4х40</t>
  </si>
  <si>
    <t xml:space="preserve">Считаем коробками, а не саморезами</t>
  </si>
  <si>
    <t xml:space="preserve">Дюбели 6×40, 100 шт</t>
  </si>
  <si>
    <t xml:space="preserve">100110</t>
  </si>
  <si>
    <t xml:space="preserve">DB-9655</t>
  </si>
  <si>
    <t xml:space="preserve">дюбель 6х40</t>
  </si>
  <si>
    <t xml:space="preserve">Шпаклёвка финишная 5 кг</t>
  </si>
  <si>
    <t xml:space="preserve">100111</t>
  </si>
  <si>
    <t xml:space="preserve">SH-8880</t>
  </si>
  <si>
    <t xml:space="preserve">шпаклевка 5кг</t>
  </si>
  <si>
    <t xml:space="preserve">Клей для плитки 25 кг</t>
  </si>
  <si>
    <t xml:space="preserve">100112</t>
  </si>
  <si>
    <t xml:space="preserve">KL-8295</t>
  </si>
  <si>
    <t xml:space="preserve">клей плитка 25</t>
  </si>
  <si>
    <t xml:space="preserve">Затирка серая 2 кг</t>
  </si>
  <si>
    <t xml:space="preserve">100113</t>
  </si>
  <si>
    <t xml:space="preserve">ZT-5623</t>
  </si>
  <si>
    <t xml:space="preserve">затирка серая</t>
  </si>
  <si>
    <t xml:space="preserve">Силикон санитарный 280 мл</t>
  </si>
  <si>
    <t xml:space="preserve">100114</t>
  </si>
  <si>
    <t xml:space="preserve">SL-2159</t>
  </si>
  <si>
    <t xml:space="preserve">силикон сантех</t>
  </si>
  <si>
    <t xml:space="preserve">Пена монтажная 750 мл</t>
  </si>
  <si>
    <t xml:space="preserve">100115</t>
  </si>
  <si>
    <t xml:space="preserve">PN-5936</t>
  </si>
  <si>
    <t xml:space="preserve">пена монтажная</t>
  </si>
  <si>
    <t xml:space="preserve">Уровень 60 см</t>
  </si>
  <si>
    <t xml:space="preserve">100116</t>
  </si>
  <si>
    <t xml:space="preserve">UR-7779</t>
  </si>
  <si>
    <t xml:space="preserve">уровень 60</t>
  </si>
  <si>
    <t xml:space="preserve">Рулетка 5 м</t>
  </si>
  <si>
    <t xml:space="preserve">100117</t>
  </si>
  <si>
    <t xml:space="preserve">RL-6066</t>
  </si>
  <si>
    <t xml:space="preserve">рулетка 5м</t>
  </si>
  <si>
    <t xml:space="preserve">Молоток 500 г</t>
  </si>
  <si>
    <t xml:space="preserve">100118</t>
  </si>
  <si>
    <t xml:space="preserve">ML-9490</t>
  </si>
  <si>
    <t xml:space="preserve">молоток</t>
  </si>
  <si>
    <t xml:space="preserve">Нож строительный</t>
  </si>
  <si>
    <t xml:space="preserve">100119</t>
  </si>
  <si>
    <t xml:space="preserve">NZ-9128</t>
  </si>
  <si>
    <t xml:space="preserve">нож строит.</t>
  </si>
  <si>
    <t xml:space="preserve">Лезвия для ножа, 10 шт</t>
  </si>
  <si>
    <t xml:space="preserve">100120</t>
  </si>
  <si>
    <t xml:space="preserve">LZ-1861</t>
  </si>
  <si>
    <t xml:space="preserve">лезвия</t>
  </si>
  <si>
    <t xml:space="preserve">Удлинитель 5 м</t>
  </si>
  <si>
    <t xml:space="preserve">100121</t>
  </si>
  <si>
    <t xml:space="preserve">UD-7981</t>
  </si>
  <si>
    <t xml:space="preserve">удлинитель 5м</t>
  </si>
  <si>
    <t xml:space="preserve">Лампа LED E27 9 Вт</t>
  </si>
  <si>
    <t xml:space="preserve">100122</t>
  </si>
  <si>
    <t xml:space="preserve">LM-5595</t>
  </si>
  <si>
    <t xml:space="preserve">лампочка E27</t>
  </si>
  <si>
    <t xml:space="preserve">Поставщик сменил артикул в августе, старый больше не встречается</t>
  </si>
  <si>
    <t xml:space="preserve">Мешки для мусора 120 л, 10 шт</t>
  </si>
  <si>
    <t xml:space="preserve">100123</t>
  </si>
  <si>
    <t xml:space="preserve">MS-6234</t>
  </si>
  <si>
    <t xml:space="preserve">мешки 120л</t>
  </si>
  <si>
    <t xml:space="preserve">Плёнка защитная 4×5 м</t>
  </si>
  <si>
    <t xml:space="preserve">100124</t>
  </si>
  <si>
    <t xml:space="preserve">PL-5024</t>
  </si>
  <si>
    <t xml:space="preserve">пленка 4х5</t>
  </si>
  <si>
    <t xml:space="preserve">Остатки по учётной программе</t>
  </si>
  <si>
    <t xml:space="preserve">Выгрузка от бухгалтерии на 30.09.2025, в штуках. Справа моя колонка с единым кодом</t>
  </si>
  <si>
    <t xml:space="preserve">Код в программе</t>
  </si>
  <si>
    <t xml:space="preserve">Название в программе</t>
  </si>
  <si>
    <t xml:space="preserve">Остаток, шт</t>
  </si>
  <si>
    <t xml:space="preserve">КРАСКА ИНТЕРЬЕРНАЯ БЕЛАЯ 9 Л</t>
  </si>
  <si>
    <t xml:space="preserve">КРАСКА ИНТЕРЬЕРНАЯ БЕЛАЯ 2,7</t>
  </si>
  <si>
    <t xml:space="preserve">КРАСКА ИНТЕРЬЕРНАЯ СЛОНОВАЯ </t>
  </si>
  <si>
    <t xml:space="preserve">ГРУНТОВКА ГЛУБОКОГО ПРОНИКНО</t>
  </si>
  <si>
    <t xml:space="preserve">ВАЛИК МАЛЯРНЫЙ 25 СМ</t>
  </si>
  <si>
    <t xml:space="preserve">КИСТЬ ПЛОСКАЯ 50 ММ</t>
  </si>
  <si>
    <t xml:space="preserve">МАЛЯРНЫЙ СКОТЧ 48 ММ</t>
  </si>
  <si>
    <t xml:space="preserve">ПЕРЧАТКИ РАБОЧИЕ, ПАРА</t>
  </si>
  <si>
    <t xml:space="preserve">САМОРЕЗЫ 4×40, КОРОБКА 200 Ш</t>
  </si>
  <si>
    <t xml:space="preserve">ДЮБЕЛИ 6×40, 100 ШТ</t>
  </si>
  <si>
    <t xml:space="preserve">ШПАКЛЁВКА ФИНИШНАЯ 5 КГ</t>
  </si>
  <si>
    <t xml:space="preserve">КЛЕЙ ДЛЯ ПЛИТКИ 25 КГ</t>
  </si>
  <si>
    <t xml:space="preserve">ЗАТИРКА СЕРАЯ 2 КГ</t>
  </si>
  <si>
    <t xml:space="preserve">СИЛИКОН САНИТАРНЫЙ 280 МЛ</t>
  </si>
  <si>
    <t xml:space="preserve">ПЕНА МОНТАЖНАЯ 750 МЛ</t>
  </si>
  <si>
    <t xml:space="preserve">УРОВЕНЬ 60 СМ</t>
  </si>
  <si>
    <t xml:space="preserve">РУЛЕТКА 5 М</t>
  </si>
  <si>
    <t xml:space="preserve">МОЛОТОК 500 Г</t>
  </si>
  <si>
    <t xml:space="preserve">НОЖ СТРОИТЕЛЬНЫЙ</t>
  </si>
  <si>
    <t xml:space="preserve">ЛЕЗВИЯ ДЛЯ НОЖА, 10 ШТ</t>
  </si>
  <si>
    <t xml:space="preserve">УДЛИНИТЕЛЬ 5 М</t>
  </si>
  <si>
    <t xml:space="preserve">ЛАМПА LED E27 9 ВТ</t>
  </si>
  <si>
    <t xml:space="preserve">МЕШКИ ДЛЯ МУСОРА 120 Л, 10 Ш</t>
  </si>
  <si>
    <t xml:space="preserve">ПЛЁНКА ЗАЩИТНАЯ 4×5 М</t>
  </si>
  <si>
    <t xml:space="preserve">100105-В</t>
  </si>
  <si>
    <t xml:space="preserve">ВАЛИК 25СМ (СТАР.)</t>
  </si>
  <si>
    <t xml:space="preserve">Инвентаризация 30.09.2025</t>
  </si>
  <si>
    <t xml:space="preserve">Что насчитали на полках. Каждый склад записывает по-своему, это нормально</t>
  </si>
  <si>
    <t xml:space="preserve">Как записано</t>
  </si>
  <si>
    <t xml:space="preserve">Кол-во</t>
  </si>
  <si>
    <t xml:space="preserve">Ед.</t>
  </si>
  <si>
    <t xml:space="preserve">шт</t>
  </si>
  <si>
    <t xml:space="preserve">уп</t>
  </si>
  <si>
    <t xml:space="preserve">скотч двусторонний</t>
  </si>
  <si>
    <t xml:space="preserve">Как обновлять этот файл</t>
  </si>
  <si>
    <t xml:space="preserve">Инструкция для бухгалтера и кладовщиков. Следующая инвентаризация займёт часы, а не дни</t>
  </si>
  <si>
    <t xml:space="preserve">Выгрузите остатки из учётной программы и вставьте на лист «Учёт» в колонки A–D, начиная с 5-й строки. Старые строки сначала удалите.</t>
  </si>
  <si>
    <t xml:space="preserve">Вставьте результаты пересчёта на лист «Инвентаризация» в колонки A–D. Каждый склад может писать по-своему, как привык.</t>
  </si>
  <si>
    <t xml:space="preserve">Колонки с тёмно-зелёным заголовком не трогайте: там формулы, они посчитают всё сами.</t>
  </si>
  <si>
    <t xml:space="preserve">Посмотрите, нет ли жёлтых строк «нет в справочнике». Если есть, добавьте товар на лист «Справочник» и укажите все его коды.</t>
  </si>
  <si>
    <t xml:space="preserve">Если строк в выгрузке стало больше, протяните формулы вниз (выделите последнюю строку с формулой и потяните за уголок).</t>
  </si>
  <si>
    <t xml:space="preserve">Откройте лист «Сверка», включите фильтр по «Статусу» и разберите сначала красные строки (крупные расхождения), потом жёлтые.</t>
  </si>
  <si>
    <t xml:space="preserve">В колонке «Причина» выбирайте одну из причин с листа «Причины», чтобы итог посчитался правильно.</t>
  </si>
  <si>
    <t xml:space="preserve">Если что-то не сходится или формулы показывают ошибку, напишите мне: srtepanov@gmail.com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</si>
</sst>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%"/>
    <numFmt numFmtId="167" formatCode="#,##0&quot; €&quot;;[RED]\-#,##0&quot; €&quot;;\–"/>
    <numFmt numFmtId="168" formatCode="[h]:mm"/>
    <numFmt numFmtId="169" formatCode="\+#,##0;[RED]\-#,##0;\–"/>
    <numFmt numFmtId="170" formatCode="#,##0.00&quot; €&quot;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6"/>
      <color rgb="FF243C32"/>
      <name val="Arial"/>
      <family val="0"/>
      <charset val="1"/>
    </font>
    <font>
      <i val="true"/>
      <sz val="9"/>
      <color rgb="FF5B6D62"/>
      <name val="Arial"/>
      <family val="0"/>
      <charset val="1"/>
    </font>
    <font>
      <b val="true"/>
      <sz val="11"/>
      <color rgb="FF527B60"/>
      <name val="Arial"/>
      <family val="0"/>
      <charset val="1"/>
    </font>
    <font>
      <sz val="10"/>
      <color rgb="FF243C32"/>
      <name val="Arial"/>
      <family val="0"/>
      <charset val="1"/>
    </font>
    <font>
      <sz val="9"/>
      <color rgb="FF5B6D62"/>
      <name val="Arial"/>
      <family val="0"/>
      <charset val="1"/>
    </font>
    <font>
      <b val="true"/>
      <sz val="18"/>
      <color rgb="FF243C32"/>
      <name val="Arial"/>
      <family val="0"/>
      <charset val="1"/>
    </font>
    <font>
      <b val="true"/>
      <sz val="18"/>
      <color rgb="FF2E6B3F"/>
      <name val="Arial"/>
      <family val="0"/>
      <charset val="1"/>
    </font>
    <font>
      <b val="true"/>
      <sz val="18"/>
      <color rgb="FF7A5600"/>
      <name val="Arial"/>
      <family val="0"/>
      <charset val="1"/>
    </font>
    <font>
      <b val="true"/>
      <sz val="18"/>
      <color rgb="FFA23B2A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b val="true"/>
      <sz val="10"/>
      <color rgb="FF527B60"/>
      <name val="Arial"/>
      <family val="0"/>
      <charset val="1"/>
    </font>
    <font>
      <i val="true"/>
      <sz val="10"/>
      <color rgb="FF5B6D62"/>
      <name val="Arial"/>
      <family val="0"/>
      <charset val="1"/>
    </font>
    <font>
      <b val="true"/>
      <sz val="10"/>
      <color rgb="FF243C32"/>
      <name val="Arial"/>
      <family val="0"/>
      <charset val="1"/>
    </font>
    <font>
      <b val="true"/>
      <sz val="10"/>
      <color rgb="FF2E6B3F"/>
      <name val="Arial"/>
      <family val="0"/>
      <charset val="1"/>
    </font>
    <font>
      <b val="true"/>
      <sz val="10"/>
      <color rgb="FF1F4E9E"/>
      <name val="Arial"/>
      <family val="0"/>
      <charset val="1"/>
    </font>
    <font>
      <b val="true"/>
      <sz val="9"/>
      <color rgb="FF2E6B3F"/>
      <name val="Arial"/>
      <family val="0"/>
      <charset val="1"/>
    </font>
    <font>
      <sz val="10"/>
      <color rgb="FF1F4E9E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AF6EC"/>
        <bgColor rgb="FFF4FAF4"/>
      </patternFill>
    </fill>
    <fill>
      <patternFill patternType="solid">
        <fgColor rgb="FFDDF1E1"/>
        <bgColor rgb="FFD5E8D9"/>
      </patternFill>
    </fill>
    <fill>
      <patternFill patternType="solid">
        <fgColor rgb="FFFFF1C9"/>
        <bgColor rgb="FFFBE3DC"/>
      </patternFill>
    </fill>
    <fill>
      <patternFill patternType="solid">
        <fgColor rgb="FFFBE3DC"/>
        <bgColor rgb="FFFFF1C9"/>
      </patternFill>
    </fill>
    <fill>
      <patternFill patternType="solid">
        <fgColor rgb="FF527B60"/>
        <bgColor rgb="FF5B6D62"/>
      </patternFill>
    </fill>
    <fill>
      <patternFill patternType="solid">
        <fgColor rgb="FFF4FAF4"/>
        <bgColor rgb="FFEAF6EC"/>
      </patternFill>
    </fill>
    <fill>
      <patternFill patternType="solid">
        <fgColor rgb="FF243C32"/>
        <bgColor rgb="FF33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E8D9"/>
      </left>
      <right style="thin">
        <color rgb="FFD5E8D9"/>
      </right>
      <top style="thin">
        <color rgb="FFD5E8D9"/>
      </top>
      <bottom style="thin">
        <color rgb="FFD5E8D9"/>
      </bottom>
      <diagonal/>
    </border>
    <border diagonalUp="false" diagonalDown="false">
      <left/>
      <right/>
      <top/>
      <bottom style="thin">
        <color rgb="FFD5E8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2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527B60"/>
          <bgColor rgb="FF000000"/>
        </patternFill>
      </fill>
    </dxf>
    <dxf>
      <fill>
        <patternFill patternType="solid">
          <fgColor rgb="FFFBE3DC"/>
          <bgColor rgb="FF000000"/>
        </patternFill>
      </fill>
    </dxf>
    <dxf>
      <fill>
        <patternFill patternType="solid">
          <fgColor rgb="FFFFF1C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43C32"/>
          <bgColor rgb="FF000000"/>
        </patternFill>
      </fill>
    </dxf>
    <dxf>
      <fill>
        <patternFill patternType="solid">
          <fgColor rgb="FFA23B2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E6B3F"/>
          <bgColor rgb="FF000000"/>
        </patternFill>
      </fill>
    </dxf>
    <dxf>
      <fill>
        <patternFill patternType="solid">
          <fgColor rgb="FF5B6D62"/>
          <bgColor rgb="FF000000"/>
        </patternFill>
      </fill>
    </dxf>
    <dxf>
      <font>
        <color rgb="FFA23B2A"/>
      </font>
      <fill>
        <patternFill>
          <bgColor rgb="FFFBE3DC"/>
        </patternFill>
      </fill>
    </dxf>
    <dxf>
      <fill>
        <patternFill>
          <bgColor rgb="FFFFF1C9"/>
        </patternFill>
      </fill>
    </dxf>
    <dxf>
      <font>
        <color rgb="FF2E6B3F"/>
      </font>
    </dxf>
    <dxf>
      <font>
        <color rgb="FF2E6B3F"/>
      </font>
      <fill>
        <patternFill>
          <bgColor rgb="FFDDF1E1"/>
        </patternFill>
      </fill>
    </dxf>
    <dxf>
      <fill>
        <patternFill patternType="solid">
          <fgColor rgb="FFF4FAF4"/>
          <bgColor rgb="FF000000"/>
        </patternFill>
      </fill>
    </dxf>
    <dxf>
      <fill>
        <patternFill patternType="solid">
          <fgColor rgb="FF1F4E9E"/>
          <bgColor rgb="FF000000"/>
        </patternFill>
      </fill>
    </dxf>
    <dxf>
      <fill>
        <patternFill patternType="solid">
          <fgColor rgb="FF7A5600"/>
          <bgColor rgb="FF000000"/>
        </patternFill>
      </fill>
    </dxf>
    <dxf>
      <font>
        <b val="1"/>
        <color rgb="FF7A5600"/>
      </font>
      <fill>
        <patternFill>
          <bgColor rgb="FFFFF1C9"/>
        </patternFill>
      </fill>
    </dxf>
    <dxf>
      <fill>
        <patternFill patternType="solid">
          <fgColor rgb="FFEAF6EC"/>
          <bgColor rgb="FF000000"/>
        </patternFill>
      </fill>
    </dxf>
    <dxf>
      <font>
        <b val="1"/>
        <color rgb="FF527B60"/>
      </font>
      <fill>
        <patternFill>
          <bgColor rgb="FFEAF6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3F"/>
      <rgbColor rgb="FF000080"/>
      <rgbColor rgb="FF7A5600"/>
      <rgbColor rgb="FF800080"/>
      <rgbColor rgb="FF008080"/>
      <rgbColor rgb="FFC9C9C9"/>
      <rgbColor rgb="FF878787"/>
      <rgbColor rgb="FF9999FF"/>
      <rgbColor rgb="FF993366"/>
      <rgbColor rgb="FFFFF1C9"/>
      <rgbColor rgb="FFEAF6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5E8D9"/>
      <rgbColor rgb="FFDDF1E1"/>
      <rgbColor rgb="FFF4FAF4"/>
      <rgbColor rgb="FF9CC9A6"/>
      <rgbColor rgb="FFFF99CC"/>
      <rgbColor rgb="FFCC99FF"/>
      <rgbColor rgb="FFFBE3DC"/>
      <rgbColor rgb="FF3366FF"/>
      <rgbColor rgb="FF33CCCC"/>
      <rgbColor rgb="FF99CC00"/>
      <rgbColor rgb="FFFFCC00"/>
      <rgbColor rgb="FFFF9900"/>
      <rgbColor rgb="FFFF6600"/>
      <rgbColor rgb="FF5B6D62"/>
      <rgbColor rgb="FF969696"/>
      <rgbColor rgb="FF003366"/>
      <rgbColor rgb="FF527B60"/>
      <rgbColor rgb="FF003300"/>
      <rgbColor rgb="FF333300"/>
      <rgbColor rgb="FFA23B2A"/>
      <rgbColor rgb="FF993366"/>
      <rgbColor rgb="FF1F4E9E"/>
      <rgbColor rgb="FF243C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Расхождения по причинам, €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Причины!E6</c:f>
              <c:strCache>
                <c:ptCount val="1"/>
                <c:pt idx="0">
                  <c:v>Сумма по модулю, €</c:v>
                </c:pt>
              </c:strCache>
            </c:strRef>
          </c:tx>
          <c:spPr>
            <a:solidFill>
              <a:srgbClr val="527b60"/>
            </a:solidFill>
            <a:ln w="0">
              <a:solidFill>
                <a:srgbClr val="527b60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Причины!$B$7:$B$12</c:f>
              <c:strCache>
                <c:ptCount val="6"/>
                <c:pt idx="0">
                  <c:v>Приход оформлен в упаковках, а не в штуках</c:v>
                </c:pt>
                <c:pt idx="1">
                  <c:v>Перемещение без документа</c:v>
                </c:pt>
                <c:pt idx="2">
                  <c:v>Вторая карточка товара в учёте</c:v>
                </c:pt>
                <c:pt idx="3">
                  <c:v>Ошибка ввода (перестановка цифр)</c:v>
                </c:pt>
                <c:pt idx="4">
                  <c:v>Пересортица похожих товаров</c:v>
                </c:pt>
                <c:pt idx="5">
                  <c:v>Причина не найдена</c:v>
                </c:pt>
              </c:strCache>
            </c:strRef>
          </c:cat>
          <c:val>
            <c:numRef>
              <c:f>Причины!$E$7:$E$12</c:f>
              <c:numCache>
                <c:formatCode>#,##0" €";[RED]\-#,##0" €";\–</c:formatCode>
                <c:ptCount val="6"/>
                <c:pt idx="0">
                  <c:v>166.25</c:v>
                </c:pt>
                <c:pt idx="1">
                  <c:v>384</c:v>
                </c:pt>
                <c:pt idx="2">
                  <c:v>102</c:v>
                </c:pt>
                <c:pt idx="3">
                  <c:v>116.1</c:v>
                </c:pt>
                <c:pt idx="4">
                  <c:v>232</c:v>
                </c:pt>
                <c:pt idx="5">
                  <c:v>38.1</c:v>
                </c:pt>
              </c:numCache>
            </c:numRef>
          </c:val>
        </c:ser>
        <c:gapWidth val="150"/>
        <c:overlap val="0"/>
        <c:axId val="38804193"/>
        <c:axId val="38139574"/>
      </c:barChart>
      <c:catAx>
        <c:axId val="3880419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139574"/>
        <c:crosses val="autoZero"/>
        <c:auto val="1"/>
        <c:lblAlgn val="ctr"/>
        <c:lblOffset val="100"/>
        <c:noMultiLvlLbl val="0"/>
      </c:catAx>
      <c:valAx>
        <c:axId val="38139574"/>
        <c:scaling>
          <c:orientation val="minMax"/>
        </c:scaling>
        <c:delete val="0"/>
        <c:axPos val="l"/>
        <c:numFmt formatCode="#,##0&quot; €&quot;;[RED]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8041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Расхождения по складам, €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Причины!J6</c:f>
              <c:strCache>
                <c:ptCount val="1"/>
                <c:pt idx="0">
                  <c:v>|Разница|, €</c:v>
                </c:pt>
              </c:strCache>
            </c:strRef>
          </c:tx>
          <c:spPr>
            <a:solidFill>
              <a:srgbClr val="9cc9a6"/>
            </a:solidFill>
            <a:ln w="0">
              <a:solidFill>
                <a:srgbClr val="9cc9a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Причины!$H$7:$H$9</c:f>
              <c:strCache>
                <c:ptCount val="3"/>
                <c:pt idx="0">
                  <c:v>Таллинн</c:v>
                </c:pt>
                <c:pt idx="1">
                  <c:v>Тарту</c:v>
                </c:pt>
                <c:pt idx="2">
                  <c:v>Пярну</c:v>
                </c:pt>
              </c:strCache>
            </c:strRef>
          </c:cat>
          <c:val>
            <c:numRef>
              <c:f>Причины!$J$7:$J$9</c:f>
              <c:numCache>
                <c:formatCode>#,##0" €";[RED]\-#,##0" €";\–</c:formatCode>
                <c:ptCount val="3"/>
                <c:pt idx="0">
                  <c:v>350.5</c:v>
                </c:pt>
                <c:pt idx="1">
                  <c:v>568.9</c:v>
                </c:pt>
                <c:pt idx="2">
                  <c:v>119.05</c:v>
                </c:pt>
              </c:numCache>
            </c:numRef>
          </c:val>
        </c:ser>
        <c:gapWidth val="150"/>
        <c:overlap val="0"/>
        <c:axId val="68416059"/>
        <c:axId val="90051536"/>
      </c:barChart>
      <c:catAx>
        <c:axId val="684160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051536"/>
        <c:crosses val="autoZero"/>
        <c:auto val="1"/>
        <c:lblAlgn val="ctr"/>
        <c:lblOffset val="100"/>
        <c:noMultiLvlLbl val="0"/>
      </c:catAx>
      <c:valAx>
        <c:axId val="90051536"/>
        <c:scaling>
          <c:orientation val="minMax"/>
        </c:scaling>
        <c:delete val="0"/>
        <c:axPos val="l"/>
        <c:numFmt formatCode="#,##0&quot; €&quot;;[RED]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41605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Расхождения по причинам, € по модулю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Причины!E6</c:f>
              <c:strCache>
                <c:ptCount val="1"/>
                <c:pt idx="0">
                  <c:v>Сумма по модулю, €</c:v>
                </c:pt>
              </c:strCache>
            </c:strRef>
          </c:tx>
          <c:spPr>
            <a:solidFill>
              <a:srgbClr val="527b60"/>
            </a:solidFill>
            <a:ln w="0">
              <a:solidFill>
                <a:srgbClr val="527b60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Причины!$B$7:$B$12</c:f>
              <c:strCache>
                <c:ptCount val="6"/>
                <c:pt idx="0">
                  <c:v>Приход оформлен в упаковках, а не в штуках</c:v>
                </c:pt>
                <c:pt idx="1">
                  <c:v>Перемещение без документа</c:v>
                </c:pt>
                <c:pt idx="2">
                  <c:v>Вторая карточка товара в учёте</c:v>
                </c:pt>
                <c:pt idx="3">
                  <c:v>Ошибка ввода (перестановка цифр)</c:v>
                </c:pt>
                <c:pt idx="4">
                  <c:v>Пересортица похожих товаров</c:v>
                </c:pt>
                <c:pt idx="5">
                  <c:v>Причина не найдена</c:v>
                </c:pt>
              </c:strCache>
            </c:strRef>
          </c:cat>
          <c:val>
            <c:numRef>
              <c:f>Причины!$E$7:$E$12</c:f>
              <c:numCache>
                <c:formatCode>#,##0" €";[RED]\-#,##0" €";\–</c:formatCode>
                <c:ptCount val="6"/>
                <c:pt idx="0">
                  <c:v>166.25</c:v>
                </c:pt>
                <c:pt idx="1">
                  <c:v>384</c:v>
                </c:pt>
                <c:pt idx="2">
                  <c:v>102</c:v>
                </c:pt>
                <c:pt idx="3">
                  <c:v>116.1</c:v>
                </c:pt>
                <c:pt idx="4">
                  <c:v>232</c:v>
                </c:pt>
                <c:pt idx="5">
                  <c:v>38.1</c:v>
                </c:pt>
              </c:numCache>
            </c:numRef>
          </c:val>
        </c:ser>
        <c:gapWidth val="150"/>
        <c:overlap val="0"/>
        <c:axId val="46568934"/>
        <c:axId val="70266315"/>
      </c:barChart>
      <c:catAx>
        <c:axId val="4656893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266315"/>
        <c:crosses val="autoZero"/>
        <c:auto val="1"/>
        <c:lblAlgn val="ctr"/>
        <c:lblOffset val="100"/>
        <c:noMultiLvlLbl val="0"/>
      </c:catAx>
      <c:valAx>
        <c:axId val="70266315"/>
        <c:scaling>
          <c:orientation val="minMax"/>
        </c:scaling>
        <c:delete val="0"/>
        <c:axPos val="l"/>
        <c:numFmt formatCode="#,##0&quot; €&quot;;[RED]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56893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0</xdr:rowOff>
    </xdr:from>
    <xdr:to>
      <xdr:col>5</xdr:col>
      <xdr:colOff>168840</xdr:colOff>
      <xdr:row>33</xdr:row>
      <xdr:rowOff>11520</xdr:rowOff>
    </xdr:to>
    <xdr:graphicFrame>
      <xdr:nvGraphicFramePr>
        <xdr:cNvPr id="0" name="Chart 1"/>
        <xdr:cNvGraphicFramePr/>
      </xdr:nvGraphicFramePr>
      <xdr:xfrm>
        <a:off x="141120" y="4705200"/>
        <a:ext cx="46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17</xdr:row>
      <xdr:rowOff>0</xdr:rowOff>
    </xdr:from>
    <xdr:to>
      <xdr:col>10</xdr:col>
      <xdr:colOff>168480</xdr:colOff>
      <xdr:row>33</xdr:row>
      <xdr:rowOff>11520</xdr:rowOff>
    </xdr:to>
    <xdr:graphicFrame>
      <xdr:nvGraphicFramePr>
        <xdr:cNvPr id="1" name="Chart 2"/>
        <xdr:cNvGraphicFramePr/>
      </xdr:nvGraphicFramePr>
      <xdr:xfrm>
        <a:off x="4933800" y="4705200"/>
        <a:ext cx="46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0</xdr:rowOff>
    </xdr:from>
    <xdr:to>
      <xdr:col>5</xdr:col>
      <xdr:colOff>120960</xdr:colOff>
      <xdr:row>31</xdr:row>
      <xdr:rowOff>22320</xdr:rowOff>
    </xdr:to>
    <xdr:graphicFrame>
      <xdr:nvGraphicFramePr>
        <xdr:cNvPr id="2" name="Chart 1"/>
        <xdr:cNvGraphicFramePr/>
      </xdr:nvGraphicFramePr>
      <xdr:xfrm>
        <a:off x="141120" y="34196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5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6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K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5" min="3" style="0" width="14"/>
    <col collapsed="false" customWidth="true" hidden="false" outlineLevel="0" max="6" min="6" style="0" width="4"/>
    <col collapsed="false" customWidth="true" hidden="false" outlineLevel="0" max="7" min="7" style="0" width="22"/>
    <col collapsed="false" customWidth="true" hidden="false" outlineLevel="0" max="11" min="8" style="0" width="14"/>
    <col collapsed="false" customWidth="true" hidden="false" outlineLevel="0" max="12" min="12" style="0" width="2"/>
  </cols>
  <sheetData>
    <row r="1" customFormat="false" ht="25.5" hidden="false" customHeight="true" outlineLevel="0" collapsed="false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true" outlineLevel="0" collapsed="false">
      <c r="A4" s="1"/>
      <c r="B4" s="4" t="s">
        <v>2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30" hidden="false" customHeight="true" outlineLevel="0" collapsed="false">
      <c r="A5" s="1"/>
      <c r="B5" s="5" t="s">
        <v>3</v>
      </c>
      <c r="C5" s="5"/>
      <c r="D5" s="5"/>
      <c r="E5" s="5"/>
      <c r="F5" s="5"/>
      <c r="G5" s="5"/>
      <c r="H5" s="5"/>
      <c r="I5" s="5"/>
      <c r="J5" s="5"/>
      <c r="K5" s="5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15" hidden="false" customHeight="true" outlineLevel="0" collapsed="false">
      <c r="A7" s="1"/>
      <c r="B7" s="4" t="s">
        <v>4</v>
      </c>
      <c r="C7" s="4"/>
      <c r="D7" s="4"/>
      <c r="E7" s="4"/>
      <c r="F7" s="4"/>
      <c r="G7" s="4"/>
      <c r="H7" s="4"/>
      <c r="I7" s="4"/>
      <c r="J7" s="4"/>
      <c r="K7" s="4"/>
    </row>
    <row r="8" customFormat="false" ht="30" hidden="false" customHeight="true" outlineLevel="0" collapsed="false">
      <c r="A8" s="1"/>
      <c r="B8" s="6" t="s">
        <v>5</v>
      </c>
      <c r="C8" s="6"/>
      <c r="D8" s="7" t="s">
        <v>6</v>
      </c>
      <c r="E8" s="7"/>
      <c r="F8" s="8" t="s">
        <v>7</v>
      </c>
      <c r="G8" s="8"/>
      <c r="H8" s="7" t="s">
        <v>8</v>
      </c>
      <c r="I8" s="7"/>
      <c r="J8" s="9" t="s">
        <v>9</v>
      </c>
      <c r="K8" s="9"/>
    </row>
    <row r="9" customFormat="false" ht="30" hidden="false" customHeight="true" outlineLevel="0" collapsed="false">
      <c r="A9" s="1"/>
      <c r="B9" s="10" t="n">
        <f aca="false">COUNTA(Сверка!A5:A76)</f>
        <v>72</v>
      </c>
      <c r="C9" s="10"/>
      <c r="D9" s="11" t="n">
        <f aca="false">COUNTIF(Сверка!J5:J76,"Сходится")/B9</f>
        <v>0.777777777777778</v>
      </c>
      <c r="E9" s="11"/>
      <c r="F9" s="12" t="n">
        <f aca="false">Причины!E13</f>
        <v>1038.45</v>
      </c>
      <c r="G9" s="12"/>
      <c r="H9" s="11" t="n">
        <f aca="false">SUMIFS(Причины!E7:E12,Причины!F7:F12,"да")/F9</f>
        <v>0.739900813712745</v>
      </c>
      <c r="I9" s="11"/>
      <c r="J9" s="13" t="n">
        <f aca="false">SUMIFS(Причины!E7:E12,Причины!B7:B12,"Причина не найдена")</f>
        <v>38.1</v>
      </c>
      <c r="K9" s="13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customFormat="false" ht="15" hidden="false" customHeight="true" outlineLevel="0" collapsed="false">
      <c r="A11" s="1"/>
      <c r="B11" s="4" t="s">
        <v>10</v>
      </c>
      <c r="C11" s="4"/>
      <c r="D11" s="4"/>
      <c r="E11" s="4"/>
      <c r="F11" s="4"/>
      <c r="G11" s="4"/>
      <c r="H11" s="4"/>
      <c r="I11" s="4"/>
      <c r="J11" s="4"/>
      <c r="K11" s="4"/>
    </row>
    <row r="12" customFormat="false" ht="30" hidden="false" customHeight="true" outlineLevel="0" collapsed="false">
      <c r="A12" s="1"/>
      <c r="B12" s="5" t="s">
        <v>11</v>
      </c>
      <c r="C12" s="5"/>
      <c r="D12" s="5"/>
      <c r="E12" s="5"/>
      <c r="F12" s="5"/>
      <c r="G12" s="5"/>
      <c r="H12" s="5"/>
      <c r="I12" s="5"/>
      <c r="J12" s="5"/>
      <c r="K12" s="5"/>
    </row>
    <row r="13" customFormat="false" ht="30" hidden="false" customHeight="true" outlineLevel="0" collapsed="false">
      <c r="A13" s="1"/>
      <c r="B13" s="5" t="s">
        <v>12</v>
      </c>
      <c r="C13" s="5"/>
      <c r="D13" s="5"/>
      <c r="E13" s="5"/>
      <c r="F13" s="5"/>
      <c r="G13" s="5"/>
      <c r="H13" s="5"/>
      <c r="I13" s="5"/>
      <c r="J13" s="5"/>
      <c r="K13" s="5"/>
    </row>
    <row r="14" customFormat="false" ht="30" hidden="false" customHeight="true" outlineLevel="0" collapsed="false">
      <c r="A14" s="1"/>
      <c r="B14" s="5" t="s">
        <v>13</v>
      </c>
      <c r="C14" s="5"/>
      <c r="D14" s="5"/>
      <c r="E14" s="5"/>
      <c r="F14" s="5"/>
      <c r="G14" s="5"/>
      <c r="H14" s="5"/>
      <c r="I14" s="5"/>
      <c r="J14" s="5"/>
      <c r="K14" s="5"/>
    </row>
    <row r="15" customFormat="false" ht="30" hidden="false" customHeight="true" outlineLevel="0" collapsed="false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customFormat="false" ht="15" hidden="false" customHeight="true" outlineLevel="0" collapsed="false">
      <c r="A17" s="1"/>
      <c r="B17" s="4" t="s">
        <v>15</v>
      </c>
      <c r="C17" s="4"/>
      <c r="D17" s="4"/>
      <c r="E17" s="4"/>
      <c r="F17" s="4"/>
      <c r="G17" s="4"/>
      <c r="H17" s="4"/>
      <c r="I17" s="4"/>
      <c r="J17" s="4"/>
      <c r="K17" s="4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customFormat="false" ht="15" hidden="false" customHeight="true" outlineLevel="0" collapsed="false">
      <c r="A36" s="1"/>
      <c r="B36" s="4" t="s">
        <v>16</v>
      </c>
      <c r="C36" s="4"/>
      <c r="D36" s="4"/>
      <c r="E36" s="4"/>
      <c r="F36" s="4"/>
      <c r="G36" s="4"/>
      <c r="H36" s="4"/>
      <c r="I36" s="4"/>
      <c r="J36" s="4"/>
      <c r="K36" s="4"/>
    </row>
    <row r="37" customFormat="false" ht="19.5" hidden="false" customHeight="true" outlineLevel="0" collapsed="false">
      <c r="A37" s="1"/>
      <c r="B37" s="5" t="s">
        <v>17</v>
      </c>
      <c r="C37" s="5"/>
      <c r="D37" s="5"/>
      <c r="E37" s="5"/>
      <c r="F37" s="5"/>
      <c r="G37" s="5"/>
      <c r="H37" s="5"/>
      <c r="I37" s="5"/>
      <c r="J37" s="5"/>
      <c r="K37" s="5"/>
    </row>
    <row r="38" customFormat="false" ht="19.5" hidden="false" customHeight="true" outlineLevel="0" collapsed="false">
      <c r="A38" s="1"/>
      <c r="B38" s="5" t="s">
        <v>18</v>
      </c>
      <c r="C38" s="5"/>
      <c r="D38" s="5"/>
      <c r="E38" s="5"/>
      <c r="F38" s="5"/>
      <c r="G38" s="5"/>
      <c r="H38" s="5"/>
      <c r="I38" s="5"/>
      <c r="J38" s="5"/>
      <c r="K38" s="5"/>
    </row>
    <row r="39" customFormat="false" ht="19.5" hidden="false" customHeight="true" outlineLevel="0" collapsed="false">
      <c r="A39" s="1"/>
      <c r="B39" s="5" t="s">
        <v>19</v>
      </c>
      <c r="C39" s="5"/>
      <c r="D39" s="5"/>
      <c r="E39" s="5"/>
      <c r="F39" s="5"/>
      <c r="G39" s="5"/>
      <c r="H39" s="5"/>
      <c r="I39" s="5"/>
      <c r="J39" s="5"/>
      <c r="K39" s="5"/>
    </row>
    <row r="40" customFormat="false" ht="19.5" hidden="false" customHeight="true" outlineLevel="0" collapsed="false">
      <c r="A40" s="1"/>
      <c r="B40" s="5" t="s">
        <v>20</v>
      </c>
      <c r="C40" s="5"/>
      <c r="D40" s="5"/>
      <c r="E40" s="5"/>
      <c r="F40" s="5"/>
      <c r="G40" s="5"/>
      <c r="H40" s="5"/>
      <c r="I40" s="5"/>
      <c r="J40" s="5"/>
      <c r="K40" s="5"/>
    </row>
    <row r="41" customFormat="false" ht="19.5" hidden="false" customHeight="true" outlineLevel="0" collapsed="false">
      <c r="A41" s="1"/>
      <c r="B41" s="5" t="s">
        <v>21</v>
      </c>
      <c r="C41" s="5"/>
      <c r="D41" s="5"/>
      <c r="E41" s="5"/>
      <c r="F41" s="5"/>
      <c r="G41" s="5"/>
      <c r="H41" s="5"/>
      <c r="I41" s="5"/>
      <c r="J41" s="5"/>
      <c r="K41" s="5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customFormat="false" ht="15" hidden="false" customHeight="true" outlineLevel="0" collapsed="false">
      <c r="A43" s="1"/>
      <c r="B43" s="4" t="s">
        <v>22</v>
      </c>
      <c r="C43" s="4"/>
      <c r="D43" s="4"/>
      <c r="E43" s="4"/>
      <c r="F43" s="4"/>
      <c r="G43" s="4"/>
      <c r="H43" s="4"/>
      <c r="I43" s="4"/>
      <c r="J43" s="4"/>
      <c r="K43" s="4"/>
    </row>
    <row r="44" customFormat="false" ht="18" hidden="false" customHeight="true" outlineLevel="0" collapsed="false">
      <c r="A44" s="1"/>
      <c r="B44" s="5" t="s">
        <v>23</v>
      </c>
      <c r="C44" s="5"/>
      <c r="D44" s="5"/>
      <c r="E44" s="5"/>
      <c r="F44" s="5"/>
      <c r="G44" s="5"/>
      <c r="H44" s="5"/>
      <c r="I44" s="5"/>
      <c r="J44" s="5"/>
      <c r="K44" s="5"/>
    </row>
    <row r="45" customFormat="false" ht="18" hidden="false" customHeight="true" outlineLevel="0" collapsed="false">
      <c r="A45" s="1"/>
      <c r="B45" s="5" t="s">
        <v>24</v>
      </c>
      <c r="C45" s="5"/>
      <c r="D45" s="5"/>
      <c r="E45" s="5"/>
      <c r="F45" s="5"/>
      <c r="G45" s="5"/>
      <c r="H45" s="5"/>
      <c r="I45" s="5"/>
      <c r="J45" s="5"/>
      <c r="K45" s="5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customFormat="false" ht="15" hidden="false" customHeight="true" outlineLevel="0" collapsed="false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"/>
    </row>
  </sheetData>
  <mergeCells count="29">
    <mergeCell ref="B4:K4"/>
    <mergeCell ref="B5:K5"/>
    <mergeCell ref="B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1:K11"/>
    <mergeCell ref="B12:K12"/>
    <mergeCell ref="B13:K13"/>
    <mergeCell ref="B14:K14"/>
    <mergeCell ref="B15:K15"/>
    <mergeCell ref="B17:K17"/>
    <mergeCell ref="B36:K36"/>
    <mergeCell ref="B37:K37"/>
    <mergeCell ref="B38:K38"/>
    <mergeCell ref="B39:K39"/>
    <mergeCell ref="B40:K40"/>
    <mergeCell ref="B41:K41"/>
    <mergeCell ref="B43:K43"/>
    <mergeCell ref="B44:K44"/>
    <mergeCell ref="B45:K45"/>
    <mergeCell ref="A47:J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C9A6"/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40"/>
    <col collapsed="false" customWidth="true" hidden="false" outlineLevel="0" max="5" min="5" style="0" width="11"/>
    <col collapsed="false" customWidth="true" hidden="false" outlineLevel="0" max="6" min="6" style="0" width="44"/>
  </cols>
  <sheetData>
    <row r="1" customFormat="false" ht="25.5" hidden="false" customHeight="true" outlineLevel="0" collapsed="false">
      <c r="A1" s="1"/>
      <c r="B1" s="2" t="s">
        <v>26</v>
      </c>
      <c r="C1" s="1"/>
      <c r="D1" s="1"/>
      <c r="E1" s="1"/>
      <c r="F1" s="1"/>
    </row>
    <row r="2" customFormat="false" ht="15" hidden="false" customHeight="false" outlineLevel="0" collapsed="false">
      <c r="A2" s="1"/>
      <c r="B2" s="3" t="s">
        <v>27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30" hidden="false" customHeight="true" outlineLevel="0" collapsed="false">
      <c r="A4" s="1"/>
      <c r="B4" s="15" t="s">
        <v>28</v>
      </c>
      <c r="C4" s="15" t="s">
        <v>29</v>
      </c>
      <c r="D4" s="15" t="s">
        <v>30</v>
      </c>
      <c r="E4" s="15" t="s">
        <v>31</v>
      </c>
      <c r="F4" s="15" t="s">
        <v>32</v>
      </c>
    </row>
    <row r="5" customFormat="false" ht="43.5" hidden="false" customHeight="true" outlineLevel="0" collapsed="false">
      <c r="A5" s="1"/>
      <c r="B5" s="16" t="s">
        <v>33</v>
      </c>
      <c r="C5" s="17" t="s">
        <v>34</v>
      </c>
      <c r="D5" s="17" t="s">
        <v>35</v>
      </c>
      <c r="E5" s="18" t="n">
        <v>0.25</v>
      </c>
      <c r="F5" s="19" t="s">
        <v>36</v>
      </c>
    </row>
    <row r="6" customFormat="false" ht="43.5" hidden="false" customHeight="true" outlineLevel="0" collapsed="false">
      <c r="A6" s="1"/>
      <c r="B6" s="20" t="s">
        <v>37</v>
      </c>
      <c r="C6" s="21" t="s">
        <v>38</v>
      </c>
      <c r="D6" s="21" t="s">
        <v>39</v>
      </c>
      <c r="E6" s="22" t="n">
        <v>0.0416666666666667</v>
      </c>
      <c r="F6" s="23" t="s">
        <v>40</v>
      </c>
    </row>
    <row r="7" customFormat="false" ht="43.5" hidden="false" customHeight="true" outlineLevel="0" collapsed="false">
      <c r="A7" s="1"/>
      <c r="B7" s="16" t="s">
        <v>41</v>
      </c>
      <c r="C7" s="17" t="s">
        <v>42</v>
      </c>
      <c r="D7" s="17" t="s">
        <v>43</v>
      </c>
      <c r="E7" s="18" t="n">
        <v>0.583333333333333</v>
      </c>
      <c r="F7" s="19" t="s">
        <v>44</v>
      </c>
    </row>
    <row r="8" customFormat="false" ht="43.5" hidden="false" customHeight="true" outlineLevel="0" collapsed="false">
      <c r="A8" s="1"/>
      <c r="B8" s="20" t="s">
        <v>41</v>
      </c>
      <c r="C8" s="21" t="s">
        <v>45</v>
      </c>
      <c r="D8" s="21" t="s">
        <v>46</v>
      </c>
      <c r="E8" s="22" t="n">
        <v>0.208333333333333</v>
      </c>
      <c r="F8" s="23" t="s">
        <v>47</v>
      </c>
    </row>
    <row r="9" customFormat="false" ht="43.5" hidden="false" customHeight="true" outlineLevel="0" collapsed="false">
      <c r="A9" s="1"/>
      <c r="B9" s="16" t="s">
        <v>41</v>
      </c>
      <c r="C9" s="17" t="s">
        <v>48</v>
      </c>
      <c r="D9" s="17" t="s">
        <v>49</v>
      </c>
      <c r="E9" s="18" t="n">
        <v>0.166666666666667</v>
      </c>
      <c r="F9" s="19"/>
    </row>
    <row r="10" customFormat="false" ht="43.5" hidden="false" customHeight="true" outlineLevel="0" collapsed="false">
      <c r="A10" s="1"/>
      <c r="B10" s="20" t="s">
        <v>50</v>
      </c>
      <c r="C10" s="21" t="s">
        <v>51</v>
      </c>
      <c r="D10" s="21" t="s">
        <v>52</v>
      </c>
      <c r="E10" s="22" t="n">
        <v>0.5</v>
      </c>
      <c r="F10" s="23" t="s">
        <v>53</v>
      </c>
    </row>
    <row r="11" customFormat="false" ht="43.5" hidden="false" customHeight="true" outlineLevel="0" collapsed="false">
      <c r="A11" s="1"/>
      <c r="B11" s="16" t="s">
        <v>50</v>
      </c>
      <c r="C11" s="17" t="s">
        <v>54</v>
      </c>
      <c r="D11" s="17" t="s">
        <v>55</v>
      </c>
      <c r="E11" s="18" t="n">
        <v>0.0833333333333333</v>
      </c>
      <c r="F11" s="19" t="s">
        <v>56</v>
      </c>
    </row>
    <row r="12" customFormat="false" ht="43.5" hidden="false" customHeight="true" outlineLevel="0" collapsed="false">
      <c r="A12" s="1"/>
      <c r="B12" s="20" t="s">
        <v>50</v>
      </c>
      <c r="C12" s="21" t="s">
        <v>57</v>
      </c>
      <c r="D12" s="21" t="s">
        <v>58</v>
      </c>
      <c r="E12" s="22" t="n">
        <v>0.25</v>
      </c>
      <c r="F12" s="23"/>
    </row>
    <row r="13" customFormat="false" ht="43.5" hidden="false" customHeight="true" outlineLevel="0" collapsed="false">
      <c r="A13" s="1"/>
      <c r="B13" s="16" t="s">
        <v>50</v>
      </c>
      <c r="C13" s="17" t="s">
        <v>59</v>
      </c>
      <c r="D13" s="17" t="s">
        <v>60</v>
      </c>
      <c r="E13" s="18" t="n">
        <v>0.0625</v>
      </c>
      <c r="F13" s="19" t="s">
        <v>61</v>
      </c>
    </row>
    <row r="14" customFormat="false" ht="15" hidden="false" customHeight="false" outlineLevel="0" collapsed="false">
      <c r="A14" s="1"/>
      <c r="B14" s="1"/>
      <c r="C14" s="1"/>
      <c r="D14" s="24" t="s">
        <v>62</v>
      </c>
      <c r="E14" s="25" t="n">
        <f aca="false">SUM(E5:E13)</f>
        <v>2.14583333333333</v>
      </c>
      <c r="F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</row>
    <row r="16" customFormat="false" ht="15" hidden="false" customHeight="true" outlineLevel="0" collapsed="false">
      <c r="A16" s="14" t="s">
        <v>25</v>
      </c>
      <c r="B16" s="14"/>
      <c r="C16" s="14"/>
      <c r="D16" s="14"/>
      <c r="E16" s="14"/>
      <c r="F16" s="1"/>
    </row>
  </sheetData>
  <mergeCells count="1">
    <mergeCell ref="A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L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7" min="3" style="0" width="10"/>
    <col collapsed="false" customWidth="true" hidden="false" outlineLevel="0" max="9" min="8" style="0" width="11"/>
    <col collapsed="false" customWidth="true" hidden="false" outlineLevel="0" max="10" min="10" style="0" width="13"/>
    <col collapsed="false" customWidth="true" hidden="false" outlineLevel="0" max="11" min="11" style="0" width="34"/>
    <col collapsed="false" customWidth="true" hidden="false" outlineLevel="0" max="12" min="12" style="0" width="44"/>
  </cols>
  <sheetData>
    <row r="1" customFormat="false" ht="25.5" hidden="false" customHeight="true" outlineLevel="0" collapsed="false">
      <c r="A1" s="2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3" t="s">
        <v>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33.75" hidden="false" customHeight="true" outlineLevel="0" collapsed="false">
      <c r="A4" s="15" t="s">
        <v>65</v>
      </c>
      <c r="B4" s="15" t="s">
        <v>66</v>
      </c>
      <c r="C4" s="15" t="s">
        <v>67</v>
      </c>
      <c r="D4" s="15" t="s">
        <v>68</v>
      </c>
      <c r="E4" s="15" t="s">
        <v>69</v>
      </c>
      <c r="F4" s="15" t="s">
        <v>70</v>
      </c>
      <c r="G4" s="15" t="s">
        <v>71</v>
      </c>
      <c r="H4" s="15" t="s">
        <v>72</v>
      </c>
      <c r="I4" s="15" t="s">
        <v>73</v>
      </c>
      <c r="J4" s="15" t="s">
        <v>74</v>
      </c>
      <c r="K4" s="15" t="s">
        <v>75</v>
      </c>
      <c r="L4" s="15" t="s">
        <v>76</v>
      </c>
    </row>
    <row r="5" customFormat="false" ht="15" hidden="false" customHeight="false" outlineLevel="0" collapsed="false">
      <c r="A5" s="26" t="s">
        <v>77</v>
      </c>
      <c r="B5" s="26" t="str">
        <f aca="false">INDEX(Справочник!$B$5:$B$28,MATCH(A5,Справочник!$A$5:$A$28,0))</f>
        <v>Краска интерьерная белая 9 л</v>
      </c>
      <c r="C5" s="26" t="s">
        <v>78</v>
      </c>
      <c r="D5" s="26" t="n">
        <f aca="false">SUMIFS(Учёт!$D$5:$D$77,Учёт!$F$5:$F$77,A5,Учёт!$A$5:$A$77,C5)</f>
        <v>33</v>
      </c>
      <c r="E5" s="26" t="n">
        <f aca="false">SUMIFS(Инвентаризация!$G$5:$G$91,Инвентаризация!$F$5:$F$91,A5,Инвентаризация!$A$5:$A$91,C5)</f>
        <v>33</v>
      </c>
      <c r="F5" s="27" t="n">
        <f aca="false">E5-D5</f>
        <v>0</v>
      </c>
      <c r="G5" s="28" t="n">
        <f aca="false">INDEX(Справочник!$G$5:$G$28,MATCH(A5,Справочник!$A$5:$A$28,0))</f>
        <v>38</v>
      </c>
      <c r="H5" s="29" t="n">
        <f aca="false">F5*G5</f>
        <v>0</v>
      </c>
      <c r="I5" s="29" t="n">
        <f aca="false">ABS(H5)</f>
        <v>0</v>
      </c>
      <c r="J5" s="30" t="str">
        <f aca="false">IF(F5=0,"Сходится",IF(I5&gt;=Причины!$C$4,"Крупное","Мелкое"))</f>
        <v>Сходится</v>
      </c>
      <c r="K5" s="17"/>
      <c r="L5" s="31"/>
    </row>
    <row r="6" customFormat="false" ht="15" hidden="false" customHeight="false" outlineLevel="0" collapsed="false">
      <c r="A6" s="26" t="s">
        <v>79</v>
      </c>
      <c r="B6" s="26" t="str">
        <f aca="false">INDEX(Справочник!$B$5:$B$28,MATCH(A6,Справочник!$A$5:$A$28,0))</f>
        <v>Краска интерьерная белая 2,7 л</v>
      </c>
      <c r="C6" s="26" t="s">
        <v>78</v>
      </c>
      <c r="D6" s="26" t="n">
        <f aca="false">SUMIFS(Учёт!$D$5:$D$77,Учёт!$F$5:$F$77,A6,Учёт!$A$5:$A$77,C6)</f>
        <v>61</v>
      </c>
      <c r="E6" s="26" t="n">
        <f aca="false">SUMIFS(Инвентаризация!$G$5:$G$91,Инвентаризация!$F$5:$F$91,A6,Инвентаризация!$A$5:$A$91,C6)</f>
        <v>61</v>
      </c>
      <c r="F6" s="27" t="n">
        <f aca="false">E6-D6</f>
        <v>0</v>
      </c>
      <c r="G6" s="28" t="n">
        <f aca="false">INDEX(Справочник!$G$5:$G$28,MATCH(A6,Справочник!$A$5:$A$28,0))</f>
        <v>14.5</v>
      </c>
      <c r="H6" s="29" t="n">
        <f aca="false">F6*G6</f>
        <v>0</v>
      </c>
      <c r="I6" s="29" t="n">
        <f aca="false">ABS(H6)</f>
        <v>0</v>
      </c>
      <c r="J6" s="30" t="str">
        <f aca="false">IF(F6=0,"Сходится",IF(I6&gt;=Причины!$C$4,"Крупное","Мелкое"))</f>
        <v>Сходится</v>
      </c>
      <c r="K6" s="17"/>
      <c r="L6" s="31"/>
    </row>
    <row r="7" customFormat="false" ht="15" hidden="false" customHeight="false" outlineLevel="0" collapsed="false">
      <c r="A7" s="26" t="s">
        <v>80</v>
      </c>
      <c r="B7" s="26" t="str">
        <f aca="false">INDEX(Справочник!$B$5:$B$28,MATCH(A7,Справочник!$A$5:$A$28,0))</f>
        <v>Краска интерьерная слоновая кость 2,7 л</v>
      </c>
      <c r="C7" s="26" t="s">
        <v>78</v>
      </c>
      <c r="D7" s="26" t="n">
        <f aca="false">SUMIFS(Учёт!$D$5:$D$77,Учёт!$F$5:$F$77,A7,Учёт!$A$5:$A$77,C7)</f>
        <v>46</v>
      </c>
      <c r="E7" s="26" t="n">
        <f aca="false">SUMIFS(Инвентаризация!$G$5:$G$91,Инвентаризация!$F$5:$F$91,A7,Инвентаризация!$A$5:$A$91,C7)</f>
        <v>46</v>
      </c>
      <c r="F7" s="27" t="n">
        <f aca="false">E7-D7</f>
        <v>0</v>
      </c>
      <c r="G7" s="28" t="n">
        <f aca="false">INDEX(Справочник!$G$5:$G$28,MATCH(A7,Справочник!$A$5:$A$28,0))</f>
        <v>14.5</v>
      </c>
      <c r="H7" s="29" t="n">
        <f aca="false">F7*G7</f>
        <v>0</v>
      </c>
      <c r="I7" s="29" t="n">
        <f aca="false">ABS(H7)</f>
        <v>0</v>
      </c>
      <c r="J7" s="30" t="str">
        <f aca="false">IF(F7=0,"Сходится",IF(I7&gt;=Причины!$C$4,"Крупное","Мелкое"))</f>
        <v>Сходится</v>
      </c>
      <c r="K7" s="17"/>
      <c r="L7" s="31"/>
    </row>
    <row r="8" customFormat="false" ht="15" hidden="false" customHeight="false" outlineLevel="0" collapsed="false">
      <c r="A8" s="26" t="s">
        <v>81</v>
      </c>
      <c r="B8" s="26" t="str">
        <f aca="false">INDEX(Справочник!$B$5:$B$28,MATCH(A8,Справочник!$A$5:$A$28,0))</f>
        <v>Грунтовка глубокого проникновения 5 л</v>
      </c>
      <c r="C8" s="26" t="s">
        <v>78</v>
      </c>
      <c r="D8" s="26" t="n">
        <f aca="false">SUMIFS(Учёт!$D$5:$D$77,Учёт!$F$5:$F$77,A8,Учёт!$A$5:$A$77,C8)</f>
        <v>49</v>
      </c>
      <c r="E8" s="26" t="n">
        <f aca="false">SUMIFS(Инвентаризация!$G$5:$G$91,Инвентаризация!$F$5:$F$91,A8,Инвентаризация!$A$5:$A$91,C8)</f>
        <v>43</v>
      </c>
      <c r="F8" s="27" t="n">
        <f aca="false">E8-D8</f>
        <v>-6</v>
      </c>
      <c r="G8" s="28" t="n">
        <f aca="false">INDEX(Справочник!$G$5:$G$28,MATCH(A8,Справочник!$A$5:$A$28,0))</f>
        <v>11.2</v>
      </c>
      <c r="H8" s="29" t="n">
        <f aca="false">F8*G8</f>
        <v>-67.2</v>
      </c>
      <c r="I8" s="29" t="n">
        <f aca="false">ABS(H8)</f>
        <v>67.2</v>
      </c>
      <c r="J8" s="30" t="str">
        <f aca="false">IF(F8=0,"Сходится",IF(I8&gt;=Причины!$C$4,"Крупное","Мелкое"))</f>
        <v>Крупное</v>
      </c>
      <c r="K8" s="17" t="s">
        <v>82</v>
      </c>
      <c r="L8" s="31" t="s">
        <v>83</v>
      </c>
    </row>
    <row r="9" customFormat="false" ht="15" hidden="false" customHeight="false" outlineLevel="0" collapsed="false">
      <c r="A9" s="26" t="s">
        <v>84</v>
      </c>
      <c r="B9" s="26" t="str">
        <f aca="false">INDEX(Справочник!$B$5:$B$28,MATCH(A9,Справочник!$A$5:$A$28,0))</f>
        <v>Валик малярный 25 см</v>
      </c>
      <c r="C9" s="26" t="s">
        <v>78</v>
      </c>
      <c r="D9" s="26" t="n">
        <f aca="false">SUMIFS(Учёт!$D$5:$D$77,Учёт!$F$5:$F$77,A9,Учёт!$A$5:$A$77,C9)</f>
        <v>60</v>
      </c>
      <c r="E9" s="26" t="n">
        <f aca="false">SUMIFS(Инвентаризация!$G$5:$G$91,Инвентаризация!$F$5:$F$91,A9,Инвентаризация!$A$5:$A$91,C9)</f>
        <v>90</v>
      </c>
      <c r="F9" s="27" t="n">
        <f aca="false">E9-D9</f>
        <v>30</v>
      </c>
      <c r="G9" s="28" t="n">
        <f aca="false">INDEX(Справочник!$G$5:$G$28,MATCH(A9,Справочник!$A$5:$A$28,0))</f>
        <v>3.4</v>
      </c>
      <c r="H9" s="29" t="n">
        <f aca="false">F9*G9</f>
        <v>102</v>
      </c>
      <c r="I9" s="29" t="n">
        <f aca="false">ABS(H9)</f>
        <v>102</v>
      </c>
      <c r="J9" s="30" t="str">
        <f aca="false">IF(F9=0,"Сходится",IF(I9&gt;=Причины!$C$4,"Крупное","Мелкое"))</f>
        <v>Крупное</v>
      </c>
      <c r="K9" s="17" t="s">
        <v>85</v>
      </c>
      <c r="L9" s="31" t="s">
        <v>86</v>
      </c>
    </row>
    <row r="10" customFormat="false" ht="15" hidden="false" customHeight="false" outlineLevel="0" collapsed="false">
      <c r="A10" s="26" t="s">
        <v>87</v>
      </c>
      <c r="B10" s="26" t="str">
        <f aca="false">INDEX(Справочник!$B$5:$B$28,MATCH(A10,Справочник!$A$5:$A$28,0))</f>
        <v>Кисть плоская 50 мм</v>
      </c>
      <c r="C10" s="26" t="s">
        <v>78</v>
      </c>
      <c r="D10" s="26" t="n">
        <f aca="false">SUMIFS(Учёт!$D$5:$D$77,Учёт!$F$5:$F$77,A10,Учёт!$A$5:$A$77,C10)</f>
        <v>81</v>
      </c>
      <c r="E10" s="26" t="n">
        <f aca="false">SUMIFS(Инвентаризация!$G$5:$G$91,Инвентаризация!$F$5:$F$91,A10,Инвентаризация!$A$5:$A$91,C10)</f>
        <v>81</v>
      </c>
      <c r="F10" s="27" t="n">
        <f aca="false">E10-D10</f>
        <v>0</v>
      </c>
      <c r="G10" s="28" t="n">
        <f aca="false">INDEX(Справочник!$G$5:$G$28,MATCH(A10,Справочник!$A$5:$A$28,0))</f>
        <v>1.9</v>
      </c>
      <c r="H10" s="29" t="n">
        <f aca="false">F10*G10</f>
        <v>0</v>
      </c>
      <c r="I10" s="29" t="n">
        <f aca="false">ABS(H10)</f>
        <v>0</v>
      </c>
      <c r="J10" s="30" t="str">
        <f aca="false">IF(F10=0,"Сходится",IF(I10&gt;=Причины!$C$4,"Крупное","Мелкое"))</f>
        <v>Сходится</v>
      </c>
      <c r="K10" s="17"/>
      <c r="L10" s="31"/>
    </row>
    <row r="11" customFormat="false" ht="15" hidden="false" customHeight="false" outlineLevel="0" collapsed="false">
      <c r="A11" s="26" t="s">
        <v>88</v>
      </c>
      <c r="B11" s="26" t="str">
        <f aca="false">INDEX(Справочник!$B$5:$B$28,MATCH(A11,Справочник!$A$5:$A$28,0))</f>
        <v>Малярный скотч 48 мм</v>
      </c>
      <c r="C11" s="26" t="s">
        <v>78</v>
      </c>
      <c r="D11" s="26" t="n">
        <f aca="false">SUMIFS(Учёт!$D$5:$D$77,Учёт!$F$5:$F$77,A11,Учёт!$A$5:$A$77,C11)</f>
        <v>201</v>
      </c>
      <c r="E11" s="26" t="n">
        <f aca="false">SUMIFS(Инвентаризация!$G$5:$G$91,Инвентаризация!$F$5:$F$91,A11,Инвентаризация!$A$5:$A$91,C11)</f>
        <v>201</v>
      </c>
      <c r="F11" s="27" t="n">
        <f aca="false">E11-D11</f>
        <v>0</v>
      </c>
      <c r="G11" s="28" t="n">
        <f aca="false">INDEX(Справочник!$G$5:$G$28,MATCH(A11,Справочник!$A$5:$A$28,0))</f>
        <v>1.6</v>
      </c>
      <c r="H11" s="29" t="n">
        <f aca="false">F11*G11</f>
        <v>0</v>
      </c>
      <c r="I11" s="29" t="n">
        <f aca="false">ABS(H11)</f>
        <v>0</v>
      </c>
      <c r="J11" s="30" t="str">
        <f aca="false">IF(F11=0,"Сходится",IF(I11&gt;=Причины!$C$4,"Крупное","Мелкое"))</f>
        <v>Сходится</v>
      </c>
      <c r="K11" s="17"/>
      <c r="L11" s="31"/>
    </row>
    <row r="12" customFormat="false" ht="15" hidden="false" customHeight="false" outlineLevel="0" collapsed="false">
      <c r="A12" s="26" t="s">
        <v>89</v>
      </c>
      <c r="B12" s="26" t="str">
        <f aca="false">INDEX(Справочник!$B$5:$B$28,MATCH(A12,Справочник!$A$5:$A$28,0))</f>
        <v>Перчатки рабочие, пара</v>
      </c>
      <c r="C12" s="26" t="s">
        <v>78</v>
      </c>
      <c r="D12" s="26" t="n">
        <f aca="false">SUMIFS(Учёт!$D$5:$D$77,Учёт!$F$5:$F$77,A12,Учёт!$A$5:$A$77,C12)</f>
        <v>125</v>
      </c>
      <c r="E12" s="26" t="n">
        <f aca="false">SUMIFS(Инвентаризация!$G$5:$G$91,Инвентаризация!$F$5:$F$91,A12,Инвентаризация!$A$5:$A$91,C12)</f>
        <v>125</v>
      </c>
      <c r="F12" s="27" t="n">
        <f aca="false">E12-D12</f>
        <v>0</v>
      </c>
      <c r="G12" s="28" t="n">
        <f aca="false">INDEX(Справочник!$G$5:$G$28,MATCH(A12,Справочник!$A$5:$A$28,0))</f>
        <v>0.85</v>
      </c>
      <c r="H12" s="29" t="n">
        <f aca="false">F12*G12</f>
        <v>0</v>
      </c>
      <c r="I12" s="29" t="n">
        <f aca="false">ABS(H12)</f>
        <v>0</v>
      </c>
      <c r="J12" s="30" t="str">
        <f aca="false">IF(F12=0,"Сходится",IF(I12&gt;=Причины!$C$4,"Крупное","Мелкое"))</f>
        <v>Сходится</v>
      </c>
      <c r="K12" s="17"/>
      <c r="L12" s="31"/>
    </row>
    <row r="13" customFormat="false" ht="15" hidden="false" customHeight="false" outlineLevel="0" collapsed="false">
      <c r="A13" s="26" t="s">
        <v>90</v>
      </c>
      <c r="B13" s="26" t="str">
        <f aca="false">INDEX(Справочник!$B$5:$B$28,MATCH(A13,Справочник!$A$5:$A$28,0))</f>
        <v>Саморезы 4×40, коробка 200 шт</v>
      </c>
      <c r="C13" s="26" t="s">
        <v>78</v>
      </c>
      <c r="D13" s="26" t="n">
        <f aca="false">SUMIFS(Учёт!$D$5:$D$77,Учёт!$F$5:$F$77,A13,Учёт!$A$5:$A$77,C13)</f>
        <v>63</v>
      </c>
      <c r="E13" s="26" t="n">
        <f aca="false">SUMIFS(Инвентаризация!$G$5:$G$91,Инвентаризация!$F$5:$F$91,A13,Инвентаризация!$A$5:$A$91,C13)</f>
        <v>63</v>
      </c>
      <c r="F13" s="27" t="n">
        <f aca="false">E13-D13</f>
        <v>0</v>
      </c>
      <c r="G13" s="28" t="n">
        <f aca="false">INDEX(Справочник!$G$5:$G$28,MATCH(A13,Справочник!$A$5:$A$28,0))</f>
        <v>4.9</v>
      </c>
      <c r="H13" s="29" t="n">
        <f aca="false">F13*G13</f>
        <v>0</v>
      </c>
      <c r="I13" s="29" t="n">
        <f aca="false">ABS(H13)</f>
        <v>0</v>
      </c>
      <c r="J13" s="30" t="str">
        <f aca="false">IF(F13=0,"Сходится",IF(I13&gt;=Причины!$C$4,"Крупное","Мелкое"))</f>
        <v>Сходится</v>
      </c>
      <c r="K13" s="17"/>
      <c r="L13" s="31"/>
    </row>
    <row r="14" customFormat="false" ht="15" hidden="false" customHeight="false" outlineLevel="0" collapsed="false">
      <c r="A14" s="26" t="s">
        <v>91</v>
      </c>
      <c r="B14" s="26" t="str">
        <f aca="false">INDEX(Справочник!$B$5:$B$28,MATCH(A14,Справочник!$A$5:$A$28,0))</f>
        <v>Дюбели 6×40, 100 шт</v>
      </c>
      <c r="C14" s="26" t="s">
        <v>78</v>
      </c>
      <c r="D14" s="26" t="n">
        <f aca="false">SUMIFS(Учёт!$D$5:$D$77,Учёт!$F$5:$F$77,A14,Учёт!$A$5:$A$77,C14)</f>
        <v>74</v>
      </c>
      <c r="E14" s="26" t="n">
        <f aca="false">SUMIFS(Инвентаризация!$G$5:$G$91,Инвентаризация!$F$5:$F$91,A14,Инвентаризация!$A$5:$A$91,C14)</f>
        <v>74</v>
      </c>
      <c r="F14" s="27" t="n">
        <f aca="false">E14-D14</f>
        <v>0</v>
      </c>
      <c r="G14" s="28" t="n">
        <f aca="false">INDEX(Справочник!$G$5:$G$28,MATCH(A14,Справочник!$A$5:$A$28,0))</f>
        <v>2.3</v>
      </c>
      <c r="H14" s="29" t="n">
        <f aca="false">F14*G14</f>
        <v>0</v>
      </c>
      <c r="I14" s="29" t="n">
        <f aca="false">ABS(H14)</f>
        <v>0</v>
      </c>
      <c r="J14" s="30" t="str">
        <f aca="false">IF(F14=0,"Сходится",IF(I14&gt;=Причины!$C$4,"Крупное","Мелкое"))</f>
        <v>Сходится</v>
      </c>
      <c r="K14" s="17"/>
      <c r="L14" s="31"/>
    </row>
    <row r="15" customFormat="false" ht="15" hidden="false" customHeight="false" outlineLevel="0" collapsed="false">
      <c r="A15" s="26" t="s">
        <v>92</v>
      </c>
      <c r="B15" s="26" t="str">
        <f aca="false">INDEX(Справочник!$B$5:$B$28,MATCH(A15,Справочник!$A$5:$A$28,0))</f>
        <v>Шпаклёвка финишная 5 кг</v>
      </c>
      <c r="C15" s="26" t="s">
        <v>78</v>
      </c>
      <c r="D15" s="26" t="n">
        <f aca="false">SUMIFS(Учёт!$D$5:$D$77,Учёт!$F$5:$F$77,A15,Учёт!$A$5:$A$77,C15)</f>
        <v>48</v>
      </c>
      <c r="E15" s="26" t="n">
        <f aca="false">SUMIFS(Инвентаризация!$G$5:$G$91,Инвентаризация!$F$5:$F$91,A15,Инвентаризация!$A$5:$A$91,C15)</f>
        <v>48</v>
      </c>
      <c r="F15" s="27" t="n">
        <f aca="false">E15-D15</f>
        <v>0</v>
      </c>
      <c r="G15" s="28" t="n">
        <f aca="false">INDEX(Справочник!$G$5:$G$28,MATCH(A15,Справочник!$A$5:$A$28,0))</f>
        <v>9.8</v>
      </c>
      <c r="H15" s="29" t="n">
        <f aca="false">F15*G15</f>
        <v>0</v>
      </c>
      <c r="I15" s="29" t="n">
        <f aca="false">ABS(H15)</f>
        <v>0</v>
      </c>
      <c r="J15" s="30" t="str">
        <f aca="false">IF(F15=0,"Сходится",IF(I15&gt;=Причины!$C$4,"Крупное","Мелкое"))</f>
        <v>Сходится</v>
      </c>
      <c r="K15" s="17"/>
      <c r="L15" s="31"/>
    </row>
    <row r="16" customFormat="false" ht="15" hidden="false" customHeight="false" outlineLevel="0" collapsed="false">
      <c r="A16" s="26" t="s">
        <v>93</v>
      </c>
      <c r="B16" s="26" t="str">
        <f aca="false">INDEX(Справочник!$B$5:$B$28,MATCH(A16,Справочник!$A$5:$A$28,0))</f>
        <v>Клей для плитки 25 кг</v>
      </c>
      <c r="C16" s="26" t="s">
        <v>78</v>
      </c>
      <c r="D16" s="26" t="n">
        <f aca="false">SUMIFS(Учёт!$D$5:$D$77,Учёт!$F$5:$F$77,A16,Учёт!$A$5:$A$77,C16)</f>
        <v>71</v>
      </c>
      <c r="E16" s="26" t="n">
        <f aca="false">SUMIFS(Инвентаризация!$G$5:$G$91,Инвентаризация!$F$5:$F$91,A16,Инвентаризация!$A$5:$A$91,C16)</f>
        <v>71</v>
      </c>
      <c r="F16" s="27" t="n">
        <f aca="false">E16-D16</f>
        <v>0</v>
      </c>
      <c r="G16" s="28" t="n">
        <f aca="false">INDEX(Справочник!$G$5:$G$28,MATCH(A16,Справочник!$A$5:$A$28,0))</f>
        <v>7.4</v>
      </c>
      <c r="H16" s="29" t="n">
        <f aca="false">F16*G16</f>
        <v>0</v>
      </c>
      <c r="I16" s="29" t="n">
        <f aca="false">ABS(H16)</f>
        <v>0</v>
      </c>
      <c r="J16" s="30" t="str">
        <f aca="false">IF(F16=0,"Сходится",IF(I16&gt;=Причины!$C$4,"Крупное","Мелкое"))</f>
        <v>Сходится</v>
      </c>
      <c r="K16" s="17"/>
      <c r="L16" s="31"/>
    </row>
    <row r="17" customFormat="false" ht="15" hidden="false" customHeight="false" outlineLevel="0" collapsed="false">
      <c r="A17" s="26" t="s">
        <v>94</v>
      </c>
      <c r="B17" s="26" t="str">
        <f aca="false">INDEX(Справочник!$B$5:$B$28,MATCH(A17,Справочник!$A$5:$A$28,0))</f>
        <v>Затирка серая 2 кг</v>
      </c>
      <c r="C17" s="26" t="s">
        <v>78</v>
      </c>
      <c r="D17" s="26" t="n">
        <f aca="false">SUMIFS(Учёт!$D$5:$D$77,Учёт!$F$5:$F$77,A17,Учёт!$A$5:$A$77,C17)</f>
        <v>38</v>
      </c>
      <c r="E17" s="26" t="n">
        <f aca="false">SUMIFS(Инвентаризация!$G$5:$G$91,Инвентаризация!$F$5:$F$91,A17,Инвентаризация!$A$5:$A$91,C17)</f>
        <v>38</v>
      </c>
      <c r="F17" s="27" t="n">
        <f aca="false">E17-D17</f>
        <v>0</v>
      </c>
      <c r="G17" s="28" t="n">
        <f aca="false">INDEX(Справочник!$G$5:$G$28,MATCH(A17,Справочник!$A$5:$A$28,0))</f>
        <v>4.1</v>
      </c>
      <c r="H17" s="29" t="n">
        <f aca="false">F17*G17</f>
        <v>0</v>
      </c>
      <c r="I17" s="29" t="n">
        <f aca="false">ABS(H17)</f>
        <v>0</v>
      </c>
      <c r="J17" s="30" t="str">
        <f aca="false">IF(F17=0,"Сходится",IF(I17&gt;=Причины!$C$4,"Крупное","Мелкое"))</f>
        <v>Сходится</v>
      </c>
      <c r="K17" s="17"/>
      <c r="L17" s="31"/>
    </row>
    <row r="18" customFormat="false" ht="15" hidden="false" customHeight="false" outlineLevel="0" collapsed="false">
      <c r="A18" s="26" t="s">
        <v>95</v>
      </c>
      <c r="B18" s="26" t="str">
        <f aca="false">INDEX(Справочник!$B$5:$B$28,MATCH(A18,Справочник!$A$5:$A$28,0))</f>
        <v>Силикон санитарный 280 мл</v>
      </c>
      <c r="C18" s="26" t="s">
        <v>78</v>
      </c>
      <c r="D18" s="26" t="n">
        <f aca="false">SUMIFS(Учёт!$D$5:$D$77,Учёт!$F$5:$F$77,A18,Учёт!$A$5:$A$77,C18)</f>
        <v>110</v>
      </c>
      <c r="E18" s="26" t="n">
        <f aca="false">SUMIFS(Инвентаризация!$G$5:$G$91,Инвентаризация!$F$5:$F$91,A18,Инвентаризация!$A$5:$A$91,C18)</f>
        <v>110</v>
      </c>
      <c r="F18" s="27" t="n">
        <f aca="false">E18-D18</f>
        <v>0</v>
      </c>
      <c r="G18" s="28" t="n">
        <f aca="false">INDEX(Справочник!$G$5:$G$28,MATCH(A18,Справочник!$A$5:$A$28,0))</f>
        <v>3.6</v>
      </c>
      <c r="H18" s="29" t="n">
        <f aca="false">F18*G18</f>
        <v>0</v>
      </c>
      <c r="I18" s="29" t="n">
        <f aca="false">ABS(H18)</f>
        <v>0</v>
      </c>
      <c r="J18" s="30" t="str">
        <f aca="false">IF(F18=0,"Сходится",IF(I18&gt;=Причины!$C$4,"Крупное","Мелкое"))</f>
        <v>Сходится</v>
      </c>
      <c r="K18" s="17"/>
      <c r="L18" s="31"/>
    </row>
    <row r="19" customFormat="false" ht="15" hidden="false" customHeight="false" outlineLevel="0" collapsed="false">
      <c r="A19" s="26" t="s">
        <v>96</v>
      </c>
      <c r="B19" s="26" t="str">
        <f aca="false">INDEX(Справочник!$B$5:$B$28,MATCH(A19,Справочник!$A$5:$A$28,0))</f>
        <v>Пена монтажная 750 мл</v>
      </c>
      <c r="C19" s="26" t="s">
        <v>78</v>
      </c>
      <c r="D19" s="26" t="n">
        <f aca="false">SUMIFS(Учёт!$D$5:$D$77,Учёт!$F$5:$F$77,A19,Учёт!$A$5:$A$77,C19)</f>
        <v>88</v>
      </c>
      <c r="E19" s="26" t="n">
        <f aca="false">SUMIFS(Инвентаризация!$G$5:$G$91,Инвентаризация!$F$5:$F$91,A19,Инвентаризация!$A$5:$A$91,C19)</f>
        <v>64</v>
      </c>
      <c r="F19" s="27" t="n">
        <f aca="false">E19-D19</f>
        <v>-24</v>
      </c>
      <c r="G19" s="28" t="n">
        <f aca="false">INDEX(Справочник!$G$5:$G$28,MATCH(A19,Справочник!$A$5:$A$28,0))</f>
        <v>5.2</v>
      </c>
      <c r="H19" s="29" t="n">
        <f aca="false">F19*G19</f>
        <v>-124.8</v>
      </c>
      <c r="I19" s="29" t="n">
        <f aca="false">ABS(H19)</f>
        <v>124.8</v>
      </c>
      <c r="J19" s="30" t="str">
        <f aca="false">IF(F19=0,"Сходится",IF(I19&gt;=Причины!$C$4,"Крупное","Мелкое"))</f>
        <v>Крупное</v>
      </c>
      <c r="K19" s="17" t="s">
        <v>82</v>
      </c>
      <c r="L19" s="31" t="s">
        <v>97</v>
      </c>
    </row>
    <row r="20" customFormat="false" ht="15" hidden="false" customHeight="false" outlineLevel="0" collapsed="false">
      <c r="A20" s="26" t="s">
        <v>98</v>
      </c>
      <c r="B20" s="26" t="str">
        <f aca="false">INDEX(Справочник!$B$5:$B$28,MATCH(A20,Справочник!$A$5:$A$28,0))</f>
        <v>Уровень 60 см</v>
      </c>
      <c r="C20" s="26" t="s">
        <v>78</v>
      </c>
      <c r="D20" s="26" t="n">
        <f aca="false">SUMIFS(Учёт!$D$5:$D$77,Учёт!$F$5:$F$77,A20,Учёт!$A$5:$A$77,C20)</f>
        <v>21</v>
      </c>
      <c r="E20" s="26" t="n">
        <f aca="false">SUMIFS(Инвентаризация!$G$5:$G$91,Инвентаризация!$F$5:$F$91,A20,Инвентаризация!$A$5:$A$91,C20)</f>
        <v>21</v>
      </c>
      <c r="F20" s="27" t="n">
        <f aca="false">E20-D20</f>
        <v>0</v>
      </c>
      <c r="G20" s="28" t="n">
        <f aca="false">INDEX(Справочник!$G$5:$G$28,MATCH(A20,Справочник!$A$5:$A$28,0))</f>
        <v>8.9</v>
      </c>
      <c r="H20" s="29" t="n">
        <f aca="false">F20*G20</f>
        <v>0</v>
      </c>
      <c r="I20" s="29" t="n">
        <f aca="false">ABS(H20)</f>
        <v>0</v>
      </c>
      <c r="J20" s="30" t="str">
        <f aca="false">IF(F20=0,"Сходится",IF(I20&gt;=Причины!$C$4,"Крупное","Мелкое"))</f>
        <v>Сходится</v>
      </c>
      <c r="K20" s="17"/>
      <c r="L20" s="31"/>
    </row>
    <row r="21" customFormat="false" ht="15" hidden="false" customHeight="false" outlineLevel="0" collapsed="false">
      <c r="A21" s="26" t="s">
        <v>99</v>
      </c>
      <c r="B21" s="26" t="str">
        <f aca="false">INDEX(Справочник!$B$5:$B$28,MATCH(A21,Справочник!$A$5:$A$28,0))</f>
        <v>Рулетка 5 м</v>
      </c>
      <c r="C21" s="26" t="s">
        <v>78</v>
      </c>
      <c r="D21" s="26" t="n">
        <f aca="false">SUMIFS(Учёт!$D$5:$D$77,Учёт!$F$5:$F$77,A21,Учёт!$A$5:$A$77,C21)</f>
        <v>52</v>
      </c>
      <c r="E21" s="26" t="n">
        <f aca="false">SUMIFS(Инвентаризация!$G$5:$G$91,Инвентаризация!$F$5:$F$91,A21,Инвентаризация!$A$5:$A$91,C21)</f>
        <v>52</v>
      </c>
      <c r="F21" s="27" t="n">
        <f aca="false">E21-D21</f>
        <v>0</v>
      </c>
      <c r="G21" s="28" t="n">
        <f aca="false">INDEX(Справочник!$G$5:$G$28,MATCH(A21,Справочник!$A$5:$A$28,0))</f>
        <v>4.3</v>
      </c>
      <c r="H21" s="29" t="n">
        <f aca="false">F21*G21</f>
        <v>0</v>
      </c>
      <c r="I21" s="29" t="n">
        <f aca="false">ABS(H21)</f>
        <v>0</v>
      </c>
      <c r="J21" s="30" t="str">
        <f aca="false">IF(F21=0,"Сходится",IF(I21&gt;=Причины!$C$4,"Крупное","Мелкое"))</f>
        <v>Сходится</v>
      </c>
      <c r="K21" s="17"/>
      <c r="L21" s="31"/>
    </row>
    <row r="22" customFormat="false" ht="15" hidden="false" customHeight="false" outlineLevel="0" collapsed="false">
      <c r="A22" s="26" t="s">
        <v>100</v>
      </c>
      <c r="B22" s="26" t="str">
        <f aca="false">INDEX(Справочник!$B$5:$B$28,MATCH(A22,Справочник!$A$5:$A$28,0))</f>
        <v>Молоток 500 г</v>
      </c>
      <c r="C22" s="26" t="s">
        <v>78</v>
      </c>
      <c r="D22" s="26" t="n">
        <f aca="false">SUMIFS(Учёт!$D$5:$D$77,Учёт!$F$5:$F$77,A22,Учёт!$A$5:$A$77,C22)</f>
        <v>19</v>
      </c>
      <c r="E22" s="26" t="n">
        <f aca="false">SUMIFS(Инвентаризация!$G$5:$G$91,Инвентаризация!$F$5:$F$91,A22,Инвентаризация!$A$5:$A$91,C22)</f>
        <v>18</v>
      </c>
      <c r="F22" s="27" t="n">
        <f aca="false">E22-D22</f>
        <v>-1</v>
      </c>
      <c r="G22" s="28" t="n">
        <f aca="false">INDEX(Справочник!$G$5:$G$28,MATCH(A22,Справочник!$A$5:$A$28,0))</f>
        <v>7.8</v>
      </c>
      <c r="H22" s="29" t="n">
        <f aca="false">F22*G22</f>
        <v>-7.8</v>
      </c>
      <c r="I22" s="29" t="n">
        <f aca="false">ABS(H22)</f>
        <v>7.8</v>
      </c>
      <c r="J22" s="30" t="str">
        <f aca="false">IF(F22=0,"Сходится",IF(I22&gt;=Причины!$C$4,"Крупное","Мелкое"))</f>
        <v>Мелкое</v>
      </c>
      <c r="K22" s="17" t="s">
        <v>101</v>
      </c>
      <c r="L22" s="31" t="s">
        <v>102</v>
      </c>
    </row>
    <row r="23" customFormat="false" ht="15" hidden="false" customHeight="false" outlineLevel="0" collapsed="false">
      <c r="A23" s="26" t="s">
        <v>103</v>
      </c>
      <c r="B23" s="26" t="str">
        <f aca="false">INDEX(Справочник!$B$5:$B$28,MATCH(A23,Справочник!$A$5:$A$28,0))</f>
        <v>Нож строительный</v>
      </c>
      <c r="C23" s="26" t="s">
        <v>78</v>
      </c>
      <c r="D23" s="26" t="n">
        <f aca="false">SUMIFS(Учёт!$D$5:$D$77,Учёт!$F$5:$F$77,A23,Учёт!$A$5:$A$77,C23)</f>
        <v>91</v>
      </c>
      <c r="E23" s="26" t="n">
        <f aca="false">SUMIFS(Инвентаризация!$G$5:$G$91,Инвентаризация!$F$5:$F$91,A23,Инвентаризация!$A$5:$A$91,C23)</f>
        <v>91</v>
      </c>
      <c r="F23" s="27" t="n">
        <f aca="false">E23-D23</f>
        <v>0</v>
      </c>
      <c r="G23" s="28" t="n">
        <f aca="false">INDEX(Справочник!$G$5:$G$28,MATCH(A23,Справочник!$A$5:$A$28,0))</f>
        <v>2.1</v>
      </c>
      <c r="H23" s="29" t="n">
        <f aca="false">F23*G23</f>
        <v>0</v>
      </c>
      <c r="I23" s="29" t="n">
        <f aca="false">ABS(H23)</f>
        <v>0</v>
      </c>
      <c r="J23" s="30" t="str">
        <f aca="false">IF(F23=0,"Сходится",IF(I23&gt;=Причины!$C$4,"Крупное","Мелкое"))</f>
        <v>Сходится</v>
      </c>
      <c r="K23" s="17"/>
      <c r="L23" s="31"/>
    </row>
    <row r="24" customFormat="false" ht="15" hidden="false" customHeight="false" outlineLevel="0" collapsed="false">
      <c r="A24" s="26" t="s">
        <v>104</v>
      </c>
      <c r="B24" s="26" t="str">
        <f aca="false">INDEX(Справочник!$B$5:$B$28,MATCH(A24,Справочник!$A$5:$A$28,0))</f>
        <v>Лезвия для ножа, 10 шт</v>
      </c>
      <c r="C24" s="26" t="s">
        <v>78</v>
      </c>
      <c r="D24" s="26" t="n">
        <f aca="false">SUMIFS(Учёт!$D$5:$D$77,Учёт!$F$5:$F$77,A24,Учёт!$A$5:$A$77,C24)</f>
        <v>128</v>
      </c>
      <c r="E24" s="26" t="n">
        <f aca="false">SUMIFS(Инвентаризация!$G$5:$G$91,Инвентаризация!$F$5:$F$91,A24,Инвентаризация!$A$5:$A$91,C24)</f>
        <v>126</v>
      </c>
      <c r="F24" s="27" t="n">
        <f aca="false">E24-D24</f>
        <v>-2</v>
      </c>
      <c r="G24" s="28" t="n">
        <f aca="false">INDEX(Справочник!$G$5:$G$28,MATCH(A24,Справочник!$A$5:$A$28,0))</f>
        <v>1.4</v>
      </c>
      <c r="H24" s="29" t="n">
        <f aca="false">F24*G24</f>
        <v>-2.8</v>
      </c>
      <c r="I24" s="29" t="n">
        <f aca="false">ABS(H24)</f>
        <v>2.8</v>
      </c>
      <c r="J24" s="30" t="str">
        <f aca="false">IF(F24=0,"Сходится",IF(I24&gt;=Причины!$C$4,"Крупное","Мелкое"))</f>
        <v>Мелкое</v>
      </c>
      <c r="K24" s="17" t="s">
        <v>101</v>
      </c>
      <c r="L24" s="31" t="s">
        <v>102</v>
      </c>
    </row>
    <row r="25" customFormat="false" ht="15" hidden="false" customHeight="false" outlineLevel="0" collapsed="false">
      <c r="A25" s="26" t="s">
        <v>105</v>
      </c>
      <c r="B25" s="26" t="str">
        <f aca="false">INDEX(Справочник!$B$5:$B$28,MATCH(A25,Справочник!$A$5:$A$28,0))</f>
        <v>Удлинитель 5 м</v>
      </c>
      <c r="C25" s="26" t="s">
        <v>78</v>
      </c>
      <c r="D25" s="26" t="n">
        <f aca="false">SUMIFS(Учёт!$D$5:$D$77,Учёт!$F$5:$F$77,A25,Учёт!$A$5:$A$77,C25)</f>
        <v>53</v>
      </c>
      <c r="E25" s="26" t="n">
        <f aca="false">SUMIFS(Инвентаризация!$G$5:$G$91,Инвентаризация!$F$5:$F$91,A25,Инвентаризация!$A$5:$A$91,C25)</f>
        <v>53</v>
      </c>
      <c r="F25" s="27" t="n">
        <f aca="false">E25-D25</f>
        <v>0</v>
      </c>
      <c r="G25" s="28" t="n">
        <f aca="false">INDEX(Справочник!$G$5:$G$28,MATCH(A25,Справочник!$A$5:$A$28,0))</f>
        <v>9.5</v>
      </c>
      <c r="H25" s="29" t="n">
        <f aca="false">F25*G25</f>
        <v>0</v>
      </c>
      <c r="I25" s="29" t="n">
        <f aca="false">ABS(H25)</f>
        <v>0</v>
      </c>
      <c r="J25" s="30" t="str">
        <f aca="false">IF(F25=0,"Сходится",IF(I25&gt;=Причины!$C$4,"Крупное","Мелкое"))</f>
        <v>Сходится</v>
      </c>
      <c r="K25" s="17"/>
      <c r="L25" s="31"/>
    </row>
    <row r="26" customFormat="false" ht="23.85" hidden="false" customHeight="false" outlineLevel="0" collapsed="false">
      <c r="A26" s="26" t="s">
        <v>106</v>
      </c>
      <c r="B26" s="26" t="str">
        <f aca="false">INDEX(Справочник!$B$5:$B$28,MATCH(A26,Справочник!$A$5:$A$28,0))</f>
        <v>Лампа LED E27 9 Вт</v>
      </c>
      <c r="C26" s="26" t="s">
        <v>78</v>
      </c>
      <c r="D26" s="26" t="n">
        <f aca="false">SUMIFS(Учёт!$D$5:$D$77,Учёт!$F$5:$F$77,A26,Учёт!$A$5:$A$77,C26)</f>
        <v>98</v>
      </c>
      <c r="E26" s="26" t="n">
        <f aca="false">SUMIFS(Инвентаризация!$G$5:$G$91,Инвентаризация!$F$5:$F$91,A26,Инвентаризация!$A$5:$A$91,C26)</f>
        <v>125</v>
      </c>
      <c r="F26" s="27" t="n">
        <f aca="false">E26-D26</f>
        <v>27</v>
      </c>
      <c r="G26" s="28" t="n">
        <f aca="false">INDEX(Справочник!$G$5:$G$28,MATCH(A26,Справочник!$A$5:$A$28,0))</f>
        <v>1.7</v>
      </c>
      <c r="H26" s="29" t="n">
        <f aca="false">F26*G26</f>
        <v>45.9</v>
      </c>
      <c r="I26" s="29" t="n">
        <f aca="false">ABS(H26)</f>
        <v>45.9</v>
      </c>
      <c r="J26" s="30" t="str">
        <f aca="false">IF(F26=0,"Сходится",IF(I26&gt;=Причины!$C$4,"Крупное","Мелкое"))</f>
        <v>Мелкое</v>
      </c>
      <c r="K26" s="17" t="s">
        <v>107</v>
      </c>
      <c r="L26" s="31" t="s">
        <v>108</v>
      </c>
    </row>
    <row r="27" customFormat="false" ht="15" hidden="false" customHeight="false" outlineLevel="0" collapsed="false">
      <c r="A27" s="26" t="s">
        <v>109</v>
      </c>
      <c r="B27" s="26" t="str">
        <f aca="false">INDEX(Справочник!$B$5:$B$28,MATCH(A27,Справочник!$A$5:$A$28,0))</f>
        <v>Мешки для мусора 120 л, 10 шт</v>
      </c>
      <c r="C27" s="26" t="s">
        <v>78</v>
      </c>
      <c r="D27" s="26" t="n">
        <f aca="false">SUMIFS(Учёт!$D$5:$D$77,Учёт!$F$5:$F$77,A27,Учёт!$A$5:$A$77,C27)</f>
        <v>73</v>
      </c>
      <c r="E27" s="26" t="n">
        <f aca="false">SUMIFS(Инвентаризация!$G$5:$G$91,Инвентаризация!$F$5:$F$91,A27,Инвентаризация!$A$5:$A$91,C27)</f>
        <v>73</v>
      </c>
      <c r="F27" s="27" t="n">
        <f aca="false">E27-D27</f>
        <v>0</v>
      </c>
      <c r="G27" s="28" t="n">
        <f aca="false">INDEX(Справочник!$G$5:$G$28,MATCH(A27,Справочник!$A$5:$A$28,0))</f>
        <v>2.2</v>
      </c>
      <c r="H27" s="29" t="n">
        <f aca="false">F27*G27</f>
        <v>0</v>
      </c>
      <c r="I27" s="29" t="n">
        <f aca="false">ABS(H27)</f>
        <v>0</v>
      </c>
      <c r="J27" s="30" t="str">
        <f aca="false">IF(F27=0,"Сходится",IF(I27&gt;=Причины!$C$4,"Крупное","Мелкое"))</f>
        <v>Сходится</v>
      </c>
      <c r="K27" s="17"/>
      <c r="L27" s="31"/>
    </row>
    <row r="28" customFormat="false" ht="15" hidden="false" customHeight="false" outlineLevel="0" collapsed="false">
      <c r="A28" s="26" t="s">
        <v>110</v>
      </c>
      <c r="B28" s="26" t="str">
        <f aca="false">INDEX(Справочник!$B$5:$B$28,MATCH(A28,Справочник!$A$5:$A$28,0))</f>
        <v>Плёнка защитная 4×5 м</v>
      </c>
      <c r="C28" s="26" t="s">
        <v>78</v>
      </c>
      <c r="D28" s="26" t="n">
        <f aca="false">SUMIFS(Учёт!$D$5:$D$77,Учёт!$F$5:$F$77,A28,Учёт!$A$5:$A$77,C28)</f>
        <v>139</v>
      </c>
      <c r="E28" s="26" t="n">
        <f aca="false">SUMIFS(Инвентаризация!$G$5:$G$91,Инвентаризация!$F$5:$F$91,A28,Инвентаризация!$A$5:$A$91,C28)</f>
        <v>139</v>
      </c>
      <c r="F28" s="27" t="n">
        <f aca="false">E28-D28</f>
        <v>0</v>
      </c>
      <c r="G28" s="28" t="n">
        <f aca="false">INDEX(Справочник!$G$5:$G$28,MATCH(A28,Справочник!$A$5:$A$28,0))</f>
        <v>1.3</v>
      </c>
      <c r="H28" s="29" t="n">
        <f aca="false">F28*G28</f>
        <v>0</v>
      </c>
      <c r="I28" s="29" t="n">
        <f aca="false">ABS(H28)</f>
        <v>0</v>
      </c>
      <c r="J28" s="30" t="str">
        <f aca="false">IF(F28=0,"Сходится",IF(I28&gt;=Причины!$C$4,"Крупное","Мелкое"))</f>
        <v>Сходится</v>
      </c>
      <c r="K28" s="17"/>
      <c r="L28" s="31"/>
    </row>
    <row r="29" customFormat="false" ht="15" hidden="false" customHeight="false" outlineLevel="0" collapsed="false">
      <c r="A29" s="26" t="s">
        <v>77</v>
      </c>
      <c r="B29" s="26" t="str">
        <f aca="false">INDEX(Справочник!$B$5:$B$28,MATCH(A29,Справочник!$A$5:$A$28,0))</f>
        <v>Краска интерьерная белая 9 л</v>
      </c>
      <c r="C29" s="26" t="s">
        <v>111</v>
      </c>
      <c r="D29" s="26" t="n">
        <f aca="false">SUMIFS(Учёт!$D$5:$D$77,Учёт!$F$5:$F$77,A29,Учёт!$A$5:$A$77,C29)</f>
        <v>17</v>
      </c>
      <c r="E29" s="26" t="n">
        <f aca="false">SUMIFS(Инвентаризация!$G$5:$G$91,Инвентаризация!$F$5:$F$91,A29,Инвентаризация!$A$5:$A$91,C29)</f>
        <v>17</v>
      </c>
      <c r="F29" s="27" t="n">
        <f aca="false">E29-D29</f>
        <v>0</v>
      </c>
      <c r="G29" s="28" t="n">
        <f aca="false">INDEX(Справочник!$G$5:$G$28,MATCH(A29,Справочник!$A$5:$A$28,0))</f>
        <v>38</v>
      </c>
      <c r="H29" s="29" t="n">
        <f aca="false">F29*G29</f>
        <v>0</v>
      </c>
      <c r="I29" s="29" t="n">
        <f aca="false">ABS(H29)</f>
        <v>0</v>
      </c>
      <c r="J29" s="30" t="str">
        <f aca="false">IF(F29=0,"Сходится",IF(I29&gt;=Причины!$C$4,"Крупное","Мелкое"))</f>
        <v>Сходится</v>
      </c>
      <c r="K29" s="17"/>
      <c r="L29" s="31"/>
    </row>
    <row r="30" customFormat="false" ht="22.35" hidden="false" customHeight="false" outlineLevel="0" collapsed="false">
      <c r="A30" s="26" t="s">
        <v>79</v>
      </c>
      <c r="B30" s="26" t="str">
        <f aca="false">INDEX(Справочник!$B$5:$B$28,MATCH(A30,Справочник!$A$5:$A$28,0))</f>
        <v>Краска интерьерная белая 2,7 л</v>
      </c>
      <c r="C30" s="26" t="s">
        <v>111</v>
      </c>
      <c r="D30" s="26" t="n">
        <f aca="false">SUMIFS(Учёт!$D$5:$D$77,Учёт!$F$5:$F$77,A30,Учёт!$A$5:$A$77,C30)</f>
        <v>40</v>
      </c>
      <c r="E30" s="26" t="n">
        <f aca="false">SUMIFS(Инвентаризация!$G$5:$G$91,Инвентаризация!$F$5:$F$91,A30,Инвентаризация!$A$5:$A$91,C30)</f>
        <v>32</v>
      </c>
      <c r="F30" s="27" t="n">
        <f aca="false">E30-D30</f>
        <v>-8</v>
      </c>
      <c r="G30" s="28" t="n">
        <f aca="false">INDEX(Справочник!$G$5:$G$28,MATCH(A30,Справочник!$A$5:$A$28,0))</f>
        <v>14.5</v>
      </c>
      <c r="H30" s="29" t="n">
        <f aca="false">F30*G30</f>
        <v>-116</v>
      </c>
      <c r="I30" s="29" t="n">
        <f aca="false">ABS(H30)</f>
        <v>116</v>
      </c>
      <c r="J30" s="30" t="str">
        <f aca="false">IF(F30=0,"Сходится",IF(I30&gt;=Причины!$C$4,"Крупное","Мелкое"))</f>
        <v>Крупное</v>
      </c>
      <c r="K30" s="17" t="s">
        <v>112</v>
      </c>
      <c r="L30" s="31" t="s">
        <v>113</v>
      </c>
    </row>
    <row r="31" customFormat="false" ht="22.35" hidden="false" customHeight="false" outlineLevel="0" collapsed="false">
      <c r="A31" s="26" t="s">
        <v>80</v>
      </c>
      <c r="B31" s="26" t="str">
        <f aca="false">INDEX(Справочник!$B$5:$B$28,MATCH(A31,Справочник!$A$5:$A$28,0))</f>
        <v>Краска интерьерная слоновая кость 2,7 л</v>
      </c>
      <c r="C31" s="26" t="s">
        <v>111</v>
      </c>
      <c r="D31" s="26" t="n">
        <f aca="false">SUMIFS(Учёт!$D$5:$D$77,Учёт!$F$5:$F$77,A31,Учёт!$A$5:$A$77,C31)</f>
        <v>6</v>
      </c>
      <c r="E31" s="26" t="n">
        <f aca="false">SUMIFS(Инвентаризация!$G$5:$G$91,Инвентаризация!$F$5:$F$91,A31,Инвентаризация!$A$5:$A$91,C31)</f>
        <v>14</v>
      </c>
      <c r="F31" s="27" t="n">
        <f aca="false">E31-D31</f>
        <v>8</v>
      </c>
      <c r="G31" s="28" t="n">
        <f aca="false">INDEX(Справочник!$G$5:$G$28,MATCH(A31,Справочник!$A$5:$A$28,0))</f>
        <v>14.5</v>
      </c>
      <c r="H31" s="29" t="n">
        <f aca="false">F31*G31</f>
        <v>116</v>
      </c>
      <c r="I31" s="29" t="n">
        <f aca="false">ABS(H31)</f>
        <v>116</v>
      </c>
      <c r="J31" s="30" t="str">
        <f aca="false">IF(F31=0,"Сходится",IF(I31&gt;=Причины!$C$4,"Крупное","Мелкое"))</f>
        <v>Крупное</v>
      </c>
      <c r="K31" s="17" t="s">
        <v>112</v>
      </c>
      <c r="L31" s="31" t="s">
        <v>113</v>
      </c>
    </row>
    <row r="32" customFormat="false" ht="15" hidden="false" customHeight="false" outlineLevel="0" collapsed="false">
      <c r="A32" s="26" t="s">
        <v>81</v>
      </c>
      <c r="B32" s="26" t="str">
        <f aca="false">INDEX(Справочник!$B$5:$B$28,MATCH(A32,Справочник!$A$5:$A$28,0))</f>
        <v>Грунтовка глубокого проникновения 5 л</v>
      </c>
      <c r="C32" s="26" t="s">
        <v>111</v>
      </c>
      <c r="D32" s="26" t="n">
        <f aca="false">SUMIFS(Учёт!$D$5:$D$77,Учёт!$F$5:$F$77,A32,Учёт!$A$5:$A$77,C32)</f>
        <v>25</v>
      </c>
      <c r="E32" s="26" t="n">
        <f aca="false">SUMIFS(Инвентаризация!$G$5:$G$91,Инвентаризация!$F$5:$F$91,A32,Инвентаризация!$A$5:$A$91,C32)</f>
        <v>25</v>
      </c>
      <c r="F32" s="27" t="n">
        <f aca="false">E32-D32</f>
        <v>0</v>
      </c>
      <c r="G32" s="28" t="n">
        <f aca="false">INDEX(Справочник!$G$5:$G$28,MATCH(A32,Справочник!$A$5:$A$28,0))</f>
        <v>11.2</v>
      </c>
      <c r="H32" s="29" t="n">
        <f aca="false">F32*G32</f>
        <v>0</v>
      </c>
      <c r="I32" s="29" t="n">
        <f aca="false">ABS(H32)</f>
        <v>0</v>
      </c>
      <c r="J32" s="30" t="str">
        <f aca="false">IF(F32=0,"Сходится",IF(I32&gt;=Причины!$C$4,"Крупное","Мелкое"))</f>
        <v>Сходится</v>
      </c>
      <c r="K32" s="17"/>
      <c r="L32" s="31"/>
    </row>
    <row r="33" customFormat="false" ht="15" hidden="false" customHeight="false" outlineLevel="0" collapsed="false">
      <c r="A33" s="26" t="s">
        <v>84</v>
      </c>
      <c r="B33" s="26" t="str">
        <f aca="false">INDEX(Справочник!$B$5:$B$28,MATCH(A33,Справочник!$A$5:$A$28,0))</f>
        <v>Валик малярный 25 см</v>
      </c>
      <c r="C33" s="26" t="s">
        <v>111</v>
      </c>
      <c r="D33" s="26" t="n">
        <f aca="false">SUMIFS(Учёт!$D$5:$D$77,Учёт!$F$5:$F$77,A33,Учёт!$A$5:$A$77,C33)</f>
        <v>41</v>
      </c>
      <c r="E33" s="26" t="n">
        <f aca="false">SUMIFS(Инвентаризация!$G$5:$G$91,Инвентаризация!$F$5:$F$91,A33,Инвентаризация!$A$5:$A$91,C33)</f>
        <v>41</v>
      </c>
      <c r="F33" s="27" t="n">
        <f aca="false">E33-D33</f>
        <v>0</v>
      </c>
      <c r="G33" s="28" t="n">
        <f aca="false">INDEX(Справочник!$G$5:$G$28,MATCH(A33,Справочник!$A$5:$A$28,0))</f>
        <v>3.4</v>
      </c>
      <c r="H33" s="29" t="n">
        <f aca="false">F33*G33</f>
        <v>0</v>
      </c>
      <c r="I33" s="29" t="n">
        <f aca="false">ABS(H33)</f>
        <v>0</v>
      </c>
      <c r="J33" s="30" t="str">
        <f aca="false">IF(F33=0,"Сходится",IF(I33&gt;=Причины!$C$4,"Крупное","Мелкое"))</f>
        <v>Сходится</v>
      </c>
      <c r="K33" s="17"/>
      <c r="L33" s="31"/>
    </row>
    <row r="34" customFormat="false" ht="15" hidden="false" customHeight="false" outlineLevel="0" collapsed="false">
      <c r="A34" s="26" t="s">
        <v>87</v>
      </c>
      <c r="B34" s="26" t="str">
        <f aca="false">INDEX(Справочник!$B$5:$B$28,MATCH(A34,Справочник!$A$5:$A$28,0))</f>
        <v>Кисть плоская 50 мм</v>
      </c>
      <c r="C34" s="26" t="s">
        <v>111</v>
      </c>
      <c r="D34" s="26" t="n">
        <f aca="false">SUMIFS(Учёт!$D$5:$D$77,Учёт!$F$5:$F$77,A34,Учёт!$A$5:$A$77,C34)</f>
        <v>42</v>
      </c>
      <c r="E34" s="26" t="n">
        <f aca="false">SUMIFS(Инвентаризация!$G$5:$G$91,Инвентаризация!$F$5:$F$91,A34,Инвентаризация!$A$5:$A$91,C34)</f>
        <v>42</v>
      </c>
      <c r="F34" s="27" t="n">
        <f aca="false">E34-D34</f>
        <v>0</v>
      </c>
      <c r="G34" s="28" t="n">
        <f aca="false">INDEX(Справочник!$G$5:$G$28,MATCH(A34,Справочник!$A$5:$A$28,0))</f>
        <v>1.9</v>
      </c>
      <c r="H34" s="29" t="n">
        <f aca="false">F34*G34</f>
        <v>0</v>
      </c>
      <c r="I34" s="29" t="n">
        <f aca="false">ABS(H34)</f>
        <v>0</v>
      </c>
      <c r="J34" s="30" t="str">
        <f aca="false">IF(F34=0,"Сходится",IF(I34&gt;=Причины!$C$4,"Крупное","Мелкое"))</f>
        <v>Сходится</v>
      </c>
      <c r="K34" s="17"/>
      <c r="L34" s="31"/>
    </row>
    <row r="35" customFormat="false" ht="23.85" hidden="false" customHeight="false" outlineLevel="0" collapsed="false">
      <c r="A35" s="26" t="s">
        <v>88</v>
      </c>
      <c r="B35" s="26" t="str">
        <f aca="false">INDEX(Справочник!$B$5:$B$28,MATCH(A35,Справочник!$A$5:$A$28,0))</f>
        <v>Малярный скотч 48 мм</v>
      </c>
      <c r="C35" s="26" t="s">
        <v>111</v>
      </c>
      <c r="D35" s="26" t="n">
        <f aca="false">SUMIFS(Учёт!$D$5:$D$77,Учёт!$F$5:$F$77,A35,Учёт!$A$5:$A$77,C35)</f>
        <v>59</v>
      </c>
      <c r="E35" s="26" t="n">
        <f aca="false">SUMIFS(Инвентаризация!$G$5:$G$91,Инвентаризация!$F$5:$F$91,A35,Инвентаризация!$A$5:$A$91,C35)</f>
        <v>105</v>
      </c>
      <c r="F35" s="27" t="n">
        <f aca="false">E35-D35</f>
        <v>46</v>
      </c>
      <c r="G35" s="28" t="n">
        <f aca="false">INDEX(Справочник!$G$5:$G$28,MATCH(A35,Справочник!$A$5:$A$28,0))</f>
        <v>1.6</v>
      </c>
      <c r="H35" s="29" t="n">
        <f aca="false">F35*G35</f>
        <v>73.6</v>
      </c>
      <c r="I35" s="29" t="n">
        <f aca="false">ABS(H35)</f>
        <v>73.6</v>
      </c>
      <c r="J35" s="30" t="str">
        <f aca="false">IF(F35=0,"Сходится",IF(I35&gt;=Причины!$C$4,"Крупное","Мелкое"))</f>
        <v>Крупное</v>
      </c>
      <c r="K35" s="17" t="s">
        <v>107</v>
      </c>
      <c r="L35" s="31" t="s">
        <v>114</v>
      </c>
    </row>
    <row r="36" customFormat="false" ht="15" hidden="false" customHeight="false" outlineLevel="0" collapsed="false">
      <c r="A36" s="26" t="s">
        <v>89</v>
      </c>
      <c r="B36" s="26" t="str">
        <f aca="false">INDEX(Справочник!$B$5:$B$28,MATCH(A36,Справочник!$A$5:$A$28,0))</f>
        <v>Перчатки рабочие, пара</v>
      </c>
      <c r="C36" s="26" t="s">
        <v>111</v>
      </c>
      <c r="D36" s="26" t="n">
        <f aca="false">SUMIFS(Учёт!$D$5:$D$77,Учёт!$F$5:$F$77,A36,Учёт!$A$5:$A$77,C36)</f>
        <v>78</v>
      </c>
      <c r="E36" s="26" t="n">
        <f aca="false">SUMIFS(Инвентаризация!$G$5:$G$91,Инвентаризация!$F$5:$F$91,A36,Инвентаризация!$A$5:$A$91,C36)</f>
        <v>74</v>
      </c>
      <c r="F36" s="27" t="n">
        <f aca="false">E36-D36</f>
        <v>-4</v>
      </c>
      <c r="G36" s="28" t="n">
        <f aca="false">INDEX(Справочник!$G$5:$G$28,MATCH(A36,Справочник!$A$5:$A$28,0))</f>
        <v>0.85</v>
      </c>
      <c r="H36" s="29" t="n">
        <f aca="false">F36*G36</f>
        <v>-3.4</v>
      </c>
      <c r="I36" s="29" t="n">
        <f aca="false">ABS(H36)</f>
        <v>3.4</v>
      </c>
      <c r="J36" s="30" t="str">
        <f aca="false">IF(F36=0,"Сходится",IF(I36&gt;=Причины!$C$4,"Крупное","Мелкое"))</f>
        <v>Мелкое</v>
      </c>
      <c r="K36" s="17" t="s">
        <v>101</v>
      </c>
      <c r="L36" s="31" t="s">
        <v>102</v>
      </c>
    </row>
    <row r="37" customFormat="false" ht="15" hidden="false" customHeight="false" outlineLevel="0" collapsed="false">
      <c r="A37" s="26" t="s">
        <v>90</v>
      </c>
      <c r="B37" s="26" t="str">
        <f aca="false">INDEX(Справочник!$B$5:$B$28,MATCH(A37,Справочник!$A$5:$A$28,0))</f>
        <v>Саморезы 4×40, коробка 200 шт</v>
      </c>
      <c r="C37" s="26" t="s">
        <v>111</v>
      </c>
      <c r="D37" s="26" t="n">
        <f aca="false">SUMIFS(Учёт!$D$5:$D$77,Учёт!$F$5:$F$77,A37,Учёт!$A$5:$A$77,C37)</f>
        <v>26</v>
      </c>
      <c r="E37" s="26" t="n">
        <f aca="false">SUMIFS(Инвентаризация!$G$5:$G$91,Инвентаризация!$F$5:$F$91,A37,Инвентаризация!$A$5:$A$91,C37)</f>
        <v>26</v>
      </c>
      <c r="F37" s="27" t="n">
        <f aca="false">E37-D37</f>
        <v>0</v>
      </c>
      <c r="G37" s="28" t="n">
        <f aca="false">INDEX(Справочник!$G$5:$G$28,MATCH(A37,Справочник!$A$5:$A$28,0))</f>
        <v>4.9</v>
      </c>
      <c r="H37" s="29" t="n">
        <f aca="false">F37*G37</f>
        <v>0</v>
      </c>
      <c r="I37" s="29" t="n">
        <f aca="false">ABS(H37)</f>
        <v>0</v>
      </c>
      <c r="J37" s="30" t="str">
        <f aca="false">IF(F37=0,"Сходится",IF(I37&gt;=Причины!$C$4,"Крупное","Мелкое"))</f>
        <v>Сходится</v>
      </c>
      <c r="K37" s="17"/>
      <c r="L37" s="31"/>
    </row>
    <row r="38" customFormat="false" ht="15" hidden="false" customHeight="false" outlineLevel="0" collapsed="false">
      <c r="A38" s="26" t="s">
        <v>91</v>
      </c>
      <c r="B38" s="26" t="str">
        <f aca="false">INDEX(Справочник!$B$5:$B$28,MATCH(A38,Справочник!$A$5:$A$28,0))</f>
        <v>Дюбели 6×40, 100 шт</v>
      </c>
      <c r="C38" s="26" t="s">
        <v>111</v>
      </c>
      <c r="D38" s="26" t="n">
        <f aca="false">SUMIFS(Учёт!$D$5:$D$77,Учёт!$F$5:$F$77,A38,Учёт!$A$5:$A$77,C38)</f>
        <v>41</v>
      </c>
      <c r="E38" s="26" t="n">
        <f aca="false">SUMIFS(Инвентаризация!$G$5:$G$91,Инвентаризация!$F$5:$F$91,A38,Инвентаризация!$A$5:$A$91,C38)</f>
        <v>41</v>
      </c>
      <c r="F38" s="27" t="n">
        <f aca="false">E38-D38</f>
        <v>0</v>
      </c>
      <c r="G38" s="28" t="n">
        <f aca="false">INDEX(Справочник!$G$5:$G$28,MATCH(A38,Справочник!$A$5:$A$28,0))</f>
        <v>2.3</v>
      </c>
      <c r="H38" s="29" t="n">
        <f aca="false">F38*G38</f>
        <v>0</v>
      </c>
      <c r="I38" s="29" t="n">
        <f aca="false">ABS(H38)</f>
        <v>0</v>
      </c>
      <c r="J38" s="30" t="str">
        <f aca="false">IF(F38=0,"Сходится",IF(I38&gt;=Причины!$C$4,"Крупное","Мелкое"))</f>
        <v>Сходится</v>
      </c>
      <c r="K38" s="17"/>
      <c r="L38" s="31"/>
    </row>
    <row r="39" customFormat="false" ht="15" hidden="false" customHeight="false" outlineLevel="0" collapsed="false">
      <c r="A39" s="26" t="s">
        <v>92</v>
      </c>
      <c r="B39" s="26" t="str">
        <f aca="false">INDEX(Справочник!$B$5:$B$28,MATCH(A39,Справочник!$A$5:$A$28,0))</f>
        <v>Шпаклёвка финишная 5 кг</v>
      </c>
      <c r="C39" s="26" t="s">
        <v>111</v>
      </c>
      <c r="D39" s="26" t="n">
        <f aca="false">SUMIFS(Учёт!$D$5:$D$77,Учёт!$F$5:$F$77,A39,Учёт!$A$5:$A$77,C39)</f>
        <v>28</v>
      </c>
      <c r="E39" s="26" t="n">
        <f aca="false">SUMIFS(Инвентаризация!$G$5:$G$91,Инвентаризация!$F$5:$F$91,A39,Инвентаризация!$A$5:$A$91,C39)</f>
        <v>28</v>
      </c>
      <c r="F39" s="27" t="n">
        <f aca="false">E39-D39</f>
        <v>0</v>
      </c>
      <c r="G39" s="28" t="n">
        <f aca="false">INDEX(Справочник!$G$5:$G$28,MATCH(A39,Справочник!$A$5:$A$28,0))</f>
        <v>9.8</v>
      </c>
      <c r="H39" s="29" t="n">
        <f aca="false">F39*G39</f>
        <v>0</v>
      </c>
      <c r="I39" s="29" t="n">
        <f aca="false">ABS(H39)</f>
        <v>0</v>
      </c>
      <c r="J39" s="30" t="str">
        <f aca="false">IF(F39=0,"Сходится",IF(I39&gt;=Причины!$C$4,"Крупное","Мелкое"))</f>
        <v>Сходится</v>
      </c>
      <c r="K39" s="17"/>
      <c r="L39" s="31"/>
    </row>
    <row r="40" customFormat="false" ht="15" hidden="false" customHeight="false" outlineLevel="0" collapsed="false">
      <c r="A40" s="26" t="s">
        <v>93</v>
      </c>
      <c r="B40" s="26" t="str">
        <f aca="false">INDEX(Справочник!$B$5:$B$28,MATCH(A40,Справочник!$A$5:$A$28,0))</f>
        <v>Клей для плитки 25 кг</v>
      </c>
      <c r="C40" s="26" t="s">
        <v>111</v>
      </c>
      <c r="D40" s="26" t="n">
        <f aca="false">SUMIFS(Учёт!$D$5:$D$77,Учёт!$F$5:$F$77,A40,Учёт!$A$5:$A$77,C40)</f>
        <v>49</v>
      </c>
      <c r="E40" s="26" t="n">
        <f aca="false">SUMIFS(Инвентаризация!$G$5:$G$91,Инвентаризация!$F$5:$F$91,A40,Инвентаризация!$A$5:$A$91,C40)</f>
        <v>49</v>
      </c>
      <c r="F40" s="27" t="n">
        <f aca="false">E40-D40</f>
        <v>0</v>
      </c>
      <c r="G40" s="28" t="n">
        <f aca="false">INDEX(Справочник!$G$5:$G$28,MATCH(A40,Справочник!$A$5:$A$28,0))</f>
        <v>7.4</v>
      </c>
      <c r="H40" s="29" t="n">
        <f aca="false">F40*G40</f>
        <v>0</v>
      </c>
      <c r="I40" s="29" t="n">
        <f aca="false">ABS(H40)</f>
        <v>0</v>
      </c>
      <c r="J40" s="30" t="str">
        <f aca="false">IF(F40=0,"Сходится",IF(I40&gt;=Причины!$C$4,"Крупное","Мелкое"))</f>
        <v>Сходится</v>
      </c>
      <c r="K40" s="17"/>
      <c r="L40" s="31"/>
    </row>
    <row r="41" customFormat="false" ht="15" hidden="false" customHeight="false" outlineLevel="0" collapsed="false">
      <c r="A41" s="26" t="s">
        <v>94</v>
      </c>
      <c r="B41" s="26" t="str">
        <f aca="false">INDEX(Справочник!$B$5:$B$28,MATCH(A41,Справочник!$A$5:$A$28,0))</f>
        <v>Затирка серая 2 кг</v>
      </c>
      <c r="C41" s="26" t="s">
        <v>111</v>
      </c>
      <c r="D41" s="26" t="n">
        <f aca="false">SUMIFS(Учёт!$D$5:$D$77,Учёт!$F$5:$F$77,A41,Учёт!$A$5:$A$77,C41)</f>
        <v>35</v>
      </c>
      <c r="E41" s="26" t="n">
        <f aca="false">SUMIFS(Инвентаризация!$G$5:$G$91,Инвентаризация!$F$5:$F$91,A41,Инвентаризация!$A$5:$A$91,C41)</f>
        <v>35</v>
      </c>
      <c r="F41" s="27" t="n">
        <f aca="false">E41-D41</f>
        <v>0</v>
      </c>
      <c r="G41" s="28" t="n">
        <f aca="false">INDEX(Справочник!$G$5:$G$28,MATCH(A41,Справочник!$A$5:$A$28,0))</f>
        <v>4.1</v>
      </c>
      <c r="H41" s="29" t="n">
        <f aca="false">F41*G41</f>
        <v>0</v>
      </c>
      <c r="I41" s="29" t="n">
        <f aca="false">ABS(H41)</f>
        <v>0</v>
      </c>
      <c r="J41" s="30" t="str">
        <f aca="false">IF(F41=0,"Сходится",IF(I41&gt;=Причины!$C$4,"Крупное","Мелкое"))</f>
        <v>Сходится</v>
      </c>
      <c r="K41" s="17"/>
      <c r="L41" s="31"/>
    </row>
    <row r="42" customFormat="false" ht="15" hidden="false" customHeight="false" outlineLevel="0" collapsed="false">
      <c r="A42" s="26" t="s">
        <v>95</v>
      </c>
      <c r="B42" s="26" t="str">
        <f aca="false">INDEX(Справочник!$B$5:$B$28,MATCH(A42,Справочник!$A$5:$A$28,0))</f>
        <v>Силикон санитарный 280 мл</v>
      </c>
      <c r="C42" s="26" t="s">
        <v>111</v>
      </c>
      <c r="D42" s="26" t="n">
        <f aca="false">SUMIFS(Учёт!$D$5:$D$77,Учёт!$F$5:$F$77,A42,Учёт!$A$5:$A$77,C42)</f>
        <v>32</v>
      </c>
      <c r="E42" s="26" t="n">
        <f aca="false">SUMIFS(Инвентаризация!$G$5:$G$91,Инвентаризация!$F$5:$F$91,A42,Инвентаризация!$A$5:$A$91,C42)</f>
        <v>32</v>
      </c>
      <c r="F42" s="27" t="n">
        <f aca="false">E42-D42</f>
        <v>0</v>
      </c>
      <c r="G42" s="28" t="n">
        <f aca="false">INDEX(Справочник!$G$5:$G$28,MATCH(A42,Справочник!$A$5:$A$28,0))</f>
        <v>3.6</v>
      </c>
      <c r="H42" s="29" t="n">
        <f aca="false">F42*G42</f>
        <v>0</v>
      </c>
      <c r="I42" s="29" t="n">
        <f aca="false">ABS(H42)</f>
        <v>0</v>
      </c>
      <c r="J42" s="30" t="str">
        <f aca="false">IF(F42=0,"Сходится",IF(I42&gt;=Причины!$C$4,"Крупное","Мелкое"))</f>
        <v>Сходится</v>
      </c>
      <c r="K42" s="17"/>
      <c r="L42" s="31"/>
    </row>
    <row r="43" customFormat="false" ht="15" hidden="false" customHeight="false" outlineLevel="0" collapsed="false">
      <c r="A43" s="26" t="s">
        <v>96</v>
      </c>
      <c r="B43" s="26" t="str">
        <f aca="false">INDEX(Справочник!$B$5:$B$28,MATCH(A43,Справочник!$A$5:$A$28,0))</f>
        <v>Пена монтажная 750 мл</v>
      </c>
      <c r="C43" s="26" t="s">
        <v>111</v>
      </c>
      <c r="D43" s="26" t="n">
        <f aca="false">SUMIFS(Учёт!$D$5:$D$77,Учёт!$F$5:$F$77,A43,Учёт!$A$5:$A$77,C43)</f>
        <v>43</v>
      </c>
      <c r="E43" s="26" t="n">
        <f aca="false">SUMIFS(Инвентаризация!$G$5:$G$91,Инвентаризация!$F$5:$F$91,A43,Инвентаризация!$A$5:$A$91,C43)</f>
        <v>67</v>
      </c>
      <c r="F43" s="27" t="n">
        <f aca="false">E43-D43</f>
        <v>24</v>
      </c>
      <c r="G43" s="28" t="n">
        <f aca="false">INDEX(Справочник!$G$5:$G$28,MATCH(A43,Справочник!$A$5:$A$28,0))</f>
        <v>5.2</v>
      </c>
      <c r="H43" s="29" t="n">
        <f aca="false">F43*G43</f>
        <v>124.8</v>
      </c>
      <c r="I43" s="29" t="n">
        <f aca="false">ABS(H43)</f>
        <v>124.8</v>
      </c>
      <c r="J43" s="30" t="str">
        <f aca="false">IF(F43=0,"Сходится",IF(I43&gt;=Причины!$C$4,"Крупное","Мелкое"))</f>
        <v>Крупное</v>
      </c>
      <c r="K43" s="17" t="s">
        <v>82</v>
      </c>
      <c r="L43" s="31" t="s">
        <v>97</v>
      </c>
    </row>
    <row r="44" customFormat="false" ht="15" hidden="false" customHeight="false" outlineLevel="0" collapsed="false">
      <c r="A44" s="26" t="s">
        <v>98</v>
      </c>
      <c r="B44" s="26" t="str">
        <f aca="false">INDEX(Справочник!$B$5:$B$28,MATCH(A44,Справочник!$A$5:$A$28,0))</f>
        <v>Уровень 60 см</v>
      </c>
      <c r="C44" s="26" t="s">
        <v>111</v>
      </c>
      <c r="D44" s="26" t="n">
        <f aca="false">SUMIFS(Учёт!$D$5:$D$77,Учёт!$F$5:$F$77,A44,Учёт!$A$5:$A$77,C44)</f>
        <v>19</v>
      </c>
      <c r="E44" s="26" t="n">
        <f aca="false">SUMIFS(Инвентаризация!$G$5:$G$91,Инвентаризация!$F$5:$F$91,A44,Инвентаризация!$A$5:$A$91,C44)</f>
        <v>19</v>
      </c>
      <c r="F44" s="27" t="n">
        <f aca="false">E44-D44</f>
        <v>0</v>
      </c>
      <c r="G44" s="28" t="n">
        <f aca="false">INDEX(Справочник!$G$5:$G$28,MATCH(A44,Справочник!$A$5:$A$28,0))</f>
        <v>8.9</v>
      </c>
      <c r="H44" s="29" t="n">
        <f aca="false">F44*G44</f>
        <v>0</v>
      </c>
      <c r="I44" s="29" t="n">
        <f aca="false">ABS(H44)</f>
        <v>0</v>
      </c>
      <c r="J44" s="30" t="str">
        <f aca="false">IF(F44=0,"Сходится",IF(I44&gt;=Причины!$C$4,"Крупное","Мелкое"))</f>
        <v>Сходится</v>
      </c>
      <c r="K44" s="17"/>
      <c r="L44" s="31"/>
    </row>
    <row r="45" customFormat="false" ht="15" hidden="false" customHeight="false" outlineLevel="0" collapsed="false">
      <c r="A45" s="26" t="s">
        <v>99</v>
      </c>
      <c r="B45" s="26" t="str">
        <f aca="false">INDEX(Справочник!$B$5:$B$28,MATCH(A45,Справочник!$A$5:$A$28,0))</f>
        <v>Рулетка 5 м</v>
      </c>
      <c r="C45" s="26" t="s">
        <v>111</v>
      </c>
      <c r="D45" s="26" t="n">
        <f aca="false">SUMIFS(Учёт!$D$5:$D$77,Учёт!$F$5:$F$77,A45,Учёт!$A$5:$A$77,C45)</f>
        <v>85</v>
      </c>
      <c r="E45" s="26" t="n">
        <f aca="false">SUMIFS(Инвентаризация!$G$5:$G$91,Инвентаризация!$F$5:$F$91,A45,Инвентаризация!$A$5:$A$91,C45)</f>
        <v>58</v>
      </c>
      <c r="F45" s="27" t="n">
        <f aca="false">E45-D45</f>
        <v>-27</v>
      </c>
      <c r="G45" s="28" t="n">
        <f aca="false">INDEX(Справочник!$G$5:$G$28,MATCH(A45,Справочник!$A$5:$A$28,0))</f>
        <v>4.3</v>
      </c>
      <c r="H45" s="29" t="n">
        <f aca="false">F45*G45</f>
        <v>-116.1</v>
      </c>
      <c r="I45" s="29" t="n">
        <f aca="false">ABS(H45)</f>
        <v>116.1</v>
      </c>
      <c r="J45" s="30" t="str">
        <f aca="false">IF(F45=0,"Сходится",IF(I45&gt;=Причины!$C$4,"Крупное","Мелкое"))</f>
        <v>Крупное</v>
      </c>
      <c r="K45" s="17" t="s">
        <v>115</v>
      </c>
      <c r="L45" s="31" t="s">
        <v>116</v>
      </c>
    </row>
    <row r="46" customFormat="false" ht="15" hidden="false" customHeight="false" outlineLevel="0" collapsed="false">
      <c r="A46" s="26" t="s">
        <v>100</v>
      </c>
      <c r="B46" s="26" t="str">
        <f aca="false">INDEX(Справочник!$B$5:$B$28,MATCH(A46,Справочник!$A$5:$A$28,0))</f>
        <v>Молоток 500 г</v>
      </c>
      <c r="C46" s="26" t="s">
        <v>111</v>
      </c>
      <c r="D46" s="26" t="n">
        <f aca="false">SUMIFS(Учёт!$D$5:$D$77,Учёт!$F$5:$F$77,A46,Учёт!$A$5:$A$77,C46)</f>
        <v>11</v>
      </c>
      <c r="E46" s="26" t="n">
        <f aca="false">SUMIFS(Инвентаризация!$G$5:$G$91,Инвентаризация!$F$5:$F$91,A46,Инвентаризация!$A$5:$A$91,C46)</f>
        <v>11</v>
      </c>
      <c r="F46" s="27" t="n">
        <f aca="false">E46-D46</f>
        <v>0</v>
      </c>
      <c r="G46" s="28" t="n">
        <f aca="false">INDEX(Справочник!$G$5:$G$28,MATCH(A46,Справочник!$A$5:$A$28,0))</f>
        <v>7.8</v>
      </c>
      <c r="H46" s="29" t="n">
        <f aca="false">F46*G46</f>
        <v>0</v>
      </c>
      <c r="I46" s="29" t="n">
        <f aca="false">ABS(H46)</f>
        <v>0</v>
      </c>
      <c r="J46" s="30" t="str">
        <f aca="false">IF(F46=0,"Сходится",IF(I46&gt;=Причины!$C$4,"Крупное","Мелкое"))</f>
        <v>Сходится</v>
      </c>
      <c r="K46" s="17"/>
      <c r="L46" s="31"/>
    </row>
    <row r="47" customFormat="false" ht="15" hidden="false" customHeight="false" outlineLevel="0" collapsed="false">
      <c r="A47" s="26" t="s">
        <v>103</v>
      </c>
      <c r="B47" s="26" t="str">
        <f aca="false">INDEX(Справочник!$B$5:$B$28,MATCH(A47,Справочник!$A$5:$A$28,0))</f>
        <v>Нож строительный</v>
      </c>
      <c r="C47" s="26" t="s">
        <v>111</v>
      </c>
      <c r="D47" s="26" t="n">
        <f aca="false">SUMIFS(Учёт!$D$5:$D$77,Учёт!$F$5:$F$77,A47,Учёт!$A$5:$A$77,C47)</f>
        <v>41</v>
      </c>
      <c r="E47" s="26" t="n">
        <f aca="false">SUMIFS(Инвентаризация!$G$5:$G$91,Инвентаризация!$F$5:$F$91,A47,Инвентаризация!$A$5:$A$91,C47)</f>
        <v>41</v>
      </c>
      <c r="F47" s="27" t="n">
        <f aca="false">E47-D47</f>
        <v>0</v>
      </c>
      <c r="G47" s="28" t="n">
        <f aca="false">INDEX(Справочник!$G$5:$G$28,MATCH(A47,Справочник!$A$5:$A$28,0))</f>
        <v>2.1</v>
      </c>
      <c r="H47" s="29" t="n">
        <f aca="false">F47*G47</f>
        <v>0</v>
      </c>
      <c r="I47" s="29" t="n">
        <f aca="false">ABS(H47)</f>
        <v>0</v>
      </c>
      <c r="J47" s="30" t="str">
        <f aca="false">IF(F47=0,"Сходится",IF(I47&gt;=Причины!$C$4,"Крупное","Мелкое"))</f>
        <v>Сходится</v>
      </c>
      <c r="K47" s="17"/>
      <c r="L47" s="31"/>
    </row>
    <row r="48" customFormat="false" ht="15" hidden="false" customHeight="false" outlineLevel="0" collapsed="false">
      <c r="A48" s="26" t="s">
        <v>104</v>
      </c>
      <c r="B48" s="26" t="str">
        <f aca="false">INDEX(Справочник!$B$5:$B$28,MATCH(A48,Справочник!$A$5:$A$28,0))</f>
        <v>Лезвия для ножа, 10 шт</v>
      </c>
      <c r="C48" s="26" t="s">
        <v>111</v>
      </c>
      <c r="D48" s="26" t="n">
        <f aca="false">SUMIFS(Учёт!$D$5:$D$77,Учёт!$F$5:$F$77,A48,Учёт!$A$5:$A$77,C48)</f>
        <v>56</v>
      </c>
      <c r="E48" s="26" t="n">
        <f aca="false">SUMIFS(Инвентаризация!$G$5:$G$91,Инвентаризация!$F$5:$F$91,A48,Инвентаризация!$A$5:$A$91,C48)</f>
        <v>56</v>
      </c>
      <c r="F48" s="27" t="n">
        <f aca="false">E48-D48</f>
        <v>0</v>
      </c>
      <c r="G48" s="28" t="n">
        <f aca="false">INDEX(Справочник!$G$5:$G$28,MATCH(A48,Справочник!$A$5:$A$28,0))</f>
        <v>1.4</v>
      </c>
      <c r="H48" s="29" t="n">
        <f aca="false">F48*G48</f>
        <v>0</v>
      </c>
      <c r="I48" s="29" t="n">
        <f aca="false">ABS(H48)</f>
        <v>0</v>
      </c>
      <c r="J48" s="30" t="str">
        <f aca="false">IF(F48=0,"Сходится",IF(I48&gt;=Причины!$C$4,"Крупное","Мелкое"))</f>
        <v>Сходится</v>
      </c>
      <c r="K48" s="17"/>
      <c r="L48" s="31"/>
    </row>
    <row r="49" customFormat="false" ht="22.35" hidden="false" customHeight="false" outlineLevel="0" collapsed="false">
      <c r="A49" s="26" t="s">
        <v>105</v>
      </c>
      <c r="B49" s="26" t="str">
        <f aca="false">INDEX(Справочник!$B$5:$B$28,MATCH(A49,Справочник!$A$5:$A$28,0))</f>
        <v>Удлинитель 5 м</v>
      </c>
      <c r="C49" s="26" t="s">
        <v>111</v>
      </c>
      <c r="D49" s="26" t="n">
        <f aca="false">SUMIFS(Учёт!$D$5:$D$77,Учёт!$F$5:$F$77,A49,Учёт!$A$5:$A$77,C49)</f>
        <v>23</v>
      </c>
      <c r="E49" s="26" t="n">
        <f aca="false">SUMIFS(Инвентаризация!$G$5:$G$91,Инвентаризация!$F$5:$F$91,A49,Инвентаризация!$A$5:$A$91,C49)</f>
        <v>21</v>
      </c>
      <c r="F49" s="27" t="n">
        <f aca="false">E49-D49</f>
        <v>-2</v>
      </c>
      <c r="G49" s="28" t="n">
        <f aca="false">INDEX(Справочник!$G$5:$G$28,MATCH(A49,Справочник!$A$5:$A$28,0))</f>
        <v>9.5</v>
      </c>
      <c r="H49" s="29" t="n">
        <f aca="false">F49*G49</f>
        <v>-19</v>
      </c>
      <c r="I49" s="29" t="n">
        <f aca="false">ABS(H49)</f>
        <v>19</v>
      </c>
      <c r="J49" s="30" t="str">
        <f aca="false">IF(F49=0,"Сходится",IF(I49&gt;=Причины!$C$4,"Крупное","Мелкое"))</f>
        <v>Мелкое</v>
      </c>
      <c r="K49" s="17" t="s">
        <v>101</v>
      </c>
      <c r="L49" s="31" t="s">
        <v>117</v>
      </c>
    </row>
    <row r="50" customFormat="false" ht="15" hidden="false" customHeight="false" outlineLevel="0" collapsed="false">
      <c r="A50" s="26" t="s">
        <v>106</v>
      </c>
      <c r="B50" s="26" t="str">
        <f aca="false">INDEX(Справочник!$B$5:$B$28,MATCH(A50,Справочник!$A$5:$A$28,0))</f>
        <v>Лампа LED E27 9 Вт</v>
      </c>
      <c r="C50" s="26" t="s">
        <v>111</v>
      </c>
      <c r="D50" s="26" t="n">
        <f aca="false">SUMIFS(Учёт!$D$5:$D$77,Учёт!$F$5:$F$77,A50,Учёт!$A$5:$A$77,C50)</f>
        <v>100</v>
      </c>
      <c r="E50" s="26" t="n">
        <f aca="false">SUMIFS(Инвентаризация!$G$5:$G$91,Инвентаризация!$F$5:$F$91,A50,Инвентаризация!$A$5:$A$91,C50)</f>
        <v>100</v>
      </c>
      <c r="F50" s="27" t="n">
        <f aca="false">E50-D50</f>
        <v>0</v>
      </c>
      <c r="G50" s="28" t="n">
        <f aca="false">INDEX(Справочник!$G$5:$G$28,MATCH(A50,Справочник!$A$5:$A$28,0))</f>
        <v>1.7</v>
      </c>
      <c r="H50" s="29" t="n">
        <f aca="false">F50*G50</f>
        <v>0</v>
      </c>
      <c r="I50" s="29" t="n">
        <f aca="false">ABS(H50)</f>
        <v>0</v>
      </c>
      <c r="J50" s="30" t="str">
        <f aca="false">IF(F50=0,"Сходится",IF(I50&gt;=Причины!$C$4,"Крупное","Мелкое"))</f>
        <v>Сходится</v>
      </c>
      <c r="K50" s="17"/>
      <c r="L50" s="31"/>
    </row>
    <row r="51" customFormat="false" ht="15" hidden="false" customHeight="false" outlineLevel="0" collapsed="false">
      <c r="A51" s="26" t="s">
        <v>109</v>
      </c>
      <c r="B51" s="26" t="str">
        <f aca="false">INDEX(Справочник!$B$5:$B$28,MATCH(A51,Справочник!$A$5:$A$28,0))</f>
        <v>Мешки для мусора 120 л, 10 шт</v>
      </c>
      <c r="C51" s="26" t="s">
        <v>111</v>
      </c>
      <c r="D51" s="26" t="n">
        <f aca="false">SUMIFS(Учёт!$D$5:$D$77,Учёт!$F$5:$F$77,A51,Учёт!$A$5:$A$77,C51)</f>
        <v>46</v>
      </c>
      <c r="E51" s="26" t="n">
        <f aca="false">SUMIFS(Инвентаризация!$G$5:$G$91,Инвентаризация!$F$5:$F$91,A51,Инвентаризация!$A$5:$A$91,C51)</f>
        <v>46</v>
      </c>
      <c r="F51" s="27" t="n">
        <f aca="false">E51-D51</f>
        <v>0</v>
      </c>
      <c r="G51" s="28" t="n">
        <f aca="false">INDEX(Справочник!$G$5:$G$28,MATCH(A51,Справочник!$A$5:$A$28,0))</f>
        <v>2.2</v>
      </c>
      <c r="H51" s="29" t="n">
        <f aca="false">F51*G51</f>
        <v>0</v>
      </c>
      <c r="I51" s="29" t="n">
        <f aca="false">ABS(H51)</f>
        <v>0</v>
      </c>
      <c r="J51" s="30" t="str">
        <f aca="false">IF(F51=0,"Сходится",IF(I51&gt;=Причины!$C$4,"Крупное","Мелкое"))</f>
        <v>Сходится</v>
      </c>
      <c r="K51" s="17"/>
      <c r="L51" s="31"/>
    </row>
    <row r="52" customFormat="false" ht="15" hidden="false" customHeight="false" outlineLevel="0" collapsed="false">
      <c r="A52" s="26" t="s">
        <v>110</v>
      </c>
      <c r="B52" s="26" t="str">
        <f aca="false">INDEX(Справочник!$B$5:$B$28,MATCH(A52,Справочник!$A$5:$A$28,0))</f>
        <v>Плёнка защитная 4×5 м</v>
      </c>
      <c r="C52" s="26" t="s">
        <v>111</v>
      </c>
      <c r="D52" s="26" t="n">
        <f aca="false">SUMIFS(Учёт!$D$5:$D$77,Учёт!$F$5:$F$77,A52,Учёт!$A$5:$A$77,C52)</f>
        <v>58</v>
      </c>
      <c r="E52" s="26" t="n">
        <f aca="false">SUMIFS(Инвентаризация!$G$5:$G$91,Инвентаризация!$F$5:$F$91,A52,Инвентаризация!$A$5:$A$91,C52)</f>
        <v>58</v>
      </c>
      <c r="F52" s="27" t="n">
        <f aca="false">E52-D52</f>
        <v>0</v>
      </c>
      <c r="G52" s="28" t="n">
        <f aca="false">INDEX(Справочник!$G$5:$G$28,MATCH(A52,Справочник!$A$5:$A$28,0))</f>
        <v>1.3</v>
      </c>
      <c r="H52" s="29" t="n">
        <f aca="false">F52*G52</f>
        <v>0</v>
      </c>
      <c r="I52" s="29" t="n">
        <f aca="false">ABS(H52)</f>
        <v>0</v>
      </c>
      <c r="J52" s="30" t="str">
        <f aca="false">IF(F52=0,"Сходится",IF(I52&gt;=Причины!$C$4,"Крупное","Мелкое"))</f>
        <v>Сходится</v>
      </c>
      <c r="K52" s="17"/>
      <c r="L52" s="31"/>
    </row>
    <row r="53" customFormat="false" ht="15" hidden="false" customHeight="false" outlineLevel="0" collapsed="false">
      <c r="A53" s="26" t="s">
        <v>77</v>
      </c>
      <c r="B53" s="26" t="str">
        <f aca="false">INDEX(Справочник!$B$5:$B$28,MATCH(A53,Справочник!$A$5:$A$28,0))</f>
        <v>Краска интерьерная белая 9 л</v>
      </c>
      <c r="C53" s="26" t="s">
        <v>118</v>
      </c>
      <c r="D53" s="26" t="n">
        <f aca="false">SUMIFS(Учёт!$D$5:$D$77,Учёт!$F$5:$F$77,A53,Учёт!$A$5:$A$77,C53)</f>
        <v>41</v>
      </c>
      <c r="E53" s="26" t="n">
        <f aca="false">SUMIFS(Инвентаризация!$G$5:$G$91,Инвентаризация!$F$5:$F$91,A53,Инвентаризация!$A$5:$A$91,C53)</f>
        <v>41</v>
      </c>
      <c r="F53" s="27" t="n">
        <f aca="false">E53-D53</f>
        <v>0</v>
      </c>
      <c r="G53" s="28" t="n">
        <f aca="false">INDEX(Справочник!$G$5:$G$28,MATCH(A53,Справочник!$A$5:$A$28,0))</f>
        <v>38</v>
      </c>
      <c r="H53" s="29" t="n">
        <f aca="false">F53*G53</f>
        <v>0</v>
      </c>
      <c r="I53" s="29" t="n">
        <f aca="false">ABS(H53)</f>
        <v>0</v>
      </c>
      <c r="J53" s="30" t="str">
        <f aca="false">IF(F53=0,"Сходится",IF(I53&gt;=Причины!$C$4,"Крупное","Мелкое"))</f>
        <v>Сходится</v>
      </c>
      <c r="K53" s="17"/>
      <c r="L53" s="31"/>
    </row>
    <row r="54" customFormat="false" ht="15" hidden="false" customHeight="false" outlineLevel="0" collapsed="false">
      <c r="A54" s="26" t="s">
        <v>79</v>
      </c>
      <c r="B54" s="26" t="str">
        <f aca="false">INDEX(Справочник!$B$5:$B$28,MATCH(A54,Справочник!$A$5:$A$28,0))</f>
        <v>Краска интерьерная белая 2,7 л</v>
      </c>
      <c r="C54" s="26" t="s">
        <v>118</v>
      </c>
      <c r="D54" s="26" t="n">
        <f aca="false">SUMIFS(Учёт!$D$5:$D$77,Учёт!$F$5:$F$77,A54,Учёт!$A$5:$A$77,C54)</f>
        <v>58</v>
      </c>
      <c r="E54" s="26" t="n">
        <f aca="false">SUMIFS(Инвентаризация!$G$5:$G$91,Инвентаризация!$F$5:$F$91,A54,Инвентаризация!$A$5:$A$91,C54)</f>
        <v>58</v>
      </c>
      <c r="F54" s="27" t="n">
        <f aca="false">E54-D54</f>
        <v>0</v>
      </c>
      <c r="G54" s="28" t="n">
        <f aca="false">INDEX(Справочник!$G$5:$G$28,MATCH(A54,Справочник!$A$5:$A$28,0))</f>
        <v>14.5</v>
      </c>
      <c r="H54" s="29" t="n">
        <f aca="false">F54*G54</f>
        <v>0</v>
      </c>
      <c r="I54" s="29" t="n">
        <f aca="false">ABS(H54)</f>
        <v>0</v>
      </c>
      <c r="J54" s="30" t="str">
        <f aca="false">IF(F54=0,"Сходится",IF(I54&gt;=Причины!$C$4,"Крупное","Мелкое"))</f>
        <v>Сходится</v>
      </c>
      <c r="K54" s="17"/>
      <c r="L54" s="31"/>
    </row>
    <row r="55" customFormat="false" ht="15" hidden="false" customHeight="false" outlineLevel="0" collapsed="false">
      <c r="A55" s="26" t="s">
        <v>80</v>
      </c>
      <c r="B55" s="26" t="str">
        <f aca="false">INDEX(Справочник!$B$5:$B$28,MATCH(A55,Справочник!$A$5:$A$28,0))</f>
        <v>Краска интерьерная слоновая кость 2,7 л</v>
      </c>
      <c r="C55" s="26" t="s">
        <v>118</v>
      </c>
      <c r="D55" s="26" t="n">
        <f aca="false">SUMIFS(Учёт!$D$5:$D$77,Учёт!$F$5:$F$77,A55,Учёт!$A$5:$A$77,C55)</f>
        <v>18</v>
      </c>
      <c r="E55" s="26" t="n">
        <f aca="false">SUMIFS(Инвентаризация!$G$5:$G$91,Инвентаризация!$F$5:$F$91,A55,Инвентаризация!$A$5:$A$91,C55)</f>
        <v>18</v>
      </c>
      <c r="F55" s="27" t="n">
        <f aca="false">E55-D55</f>
        <v>0</v>
      </c>
      <c r="G55" s="28" t="n">
        <f aca="false">INDEX(Справочник!$G$5:$G$28,MATCH(A55,Справочник!$A$5:$A$28,0))</f>
        <v>14.5</v>
      </c>
      <c r="H55" s="29" t="n">
        <f aca="false">F55*G55</f>
        <v>0</v>
      </c>
      <c r="I55" s="29" t="n">
        <f aca="false">ABS(H55)</f>
        <v>0</v>
      </c>
      <c r="J55" s="30" t="str">
        <f aca="false">IF(F55=0,"Сходится",IF(I55&gt;=Причины!$C$4,"Крупное","Мелкое"))</f>
        <v>Сходится</v>
      </c>
      <c r="K55" s="17"/>
      <c r="L55" s="31"/>
    </row>
    <row r="56" customFormat="false" ht="15" hidden="false" customHeight="false" outlineLevel="0" collapsed="false">
      <c r="A56" s="26" t="s">
        <v>81</v>
      </c>
      <c r="B56" s="26" t="str">
        <f aca="false">INDEX(Справочник!$B$5:$B$28,MATCH(A56,Справочник!$A$5:$A$28,0))</f>
        <v>Грунтовка глубокого проникновения 5 л</v>
      </c>
      <c r="C56" s="26" t="s">
        <v>118</v>
      </c>
      <c r="D56" s="26" t="n">
        <f aca="false">SUMIFS(Учёт!$D$5:$D$77,Учёт!$F$5:$F$77,A56,Учёт!$A$5:$A$77,C56)</f>
        <v>12</v>
      </c>
      <c r="E56" s="26" t="n">
        <f aca="false">SUMIFS(Инвентаризация!$G$5:$G$91,Инвентаризация!$F$5:$F$91,A56,Инвентаризация!$A$5:$A$91,C56)</f>
        <v>18</v>
      </c>
      <c r="F56" s="27" t="n">
        <f aca="false">E56-D56</f>
        <v>6</v>
      </c>
      <c r="G56" s="28" t="n">
        <f aca="false">INDEX(Справочник!$G$5:$G$28,MATCH(A56,Справочник!$A$5:$A$28,0))</f>
        <v>11.2</v>
      </c>
      <c r="H56" s="29" t="n">
        <f aca="false">F56*G56</f>
        <v>67.2</v>
      </c>
      <c r="I56" s="29" t="n">
        <f aca="false">ABS(H56)</f>
        <v>67.2</v>
      </c>
      <c r="J56" s="30" t="str">
        <f aca="false">IF(F56=0,"Сходится",IF(I56&gt;=Причины!$C$4,"Крупное","Мелкое"))</f>
        <v>Крупное</v>
      </c>
      <c r="K56" s="17" t="s">
        <v>82</v>
      </c>
      <c r="L56" s="31" t="s">
        <v>83</v>
      </c>
    </row>
    <row r="57" customFormat="false" ht="15" hidden="false" customHeight="false" outlineLevel="0" collapsed="false">
      <c r="A57" s="26" t="s">
        <v>84</v>
      </c>
      <c r="B57" s="26" t="str">
        <f aca="false">INDEX(Справочник!$B$5:$B$28,MATCH(A57,Справочник!$A$5:$A$28,0))</f>
        <v>Валик малярный 25 см</v>
      </c>
      <c r="C57" s="26" t="s">
        <v>118</v>
      </c>
      <c r="D57" s="26" t="n">
        <f aca="false">SUMIFS(Учёт!$D$5:$D$77,Учёт!$F$5:$F$77,A57,Учёт!$A$5:$A$77,C57)</f>
        <v>45</v>
      </c>
      <c r="E57" s="26" t="n">
        <f aca="false">SUMIFS(Инвентаризация!$G$5:$G$91,Инвентаризация!$F$5:$F$91,A57,Инвентаризация!$A$5:$A$91,C57)</f>
        <v>45</v>
      </c>
      <c r="F57" s="27" t="n">
        <f aca="false">E57-D57</f>
        <v>0</v>
      </c>
      <c r="G57" s="28" t="n">
        <f aca="false">INDEX(Справочник!$G$5:$G$28,MATCH(A57,Справочник!$A$5:$A$28,0))</f>
        <v>3.4</v>
      </c>
      <c r="H57" s="29" t="n">
        <f aca="false">F57*G57</f>
        <v>0</v>
      </c>
      <c r="I57" s="29" t="n">
        <f aca="false">ABS(H57)</f>
        <v>0</v>
      </c>
      <c r="J57" s="30" t="str">
        <f aca="false">IF(F57=0,"Сходится",IF(I57&gt;=Причины!$C$4,"Крупное","Мелкое"))</f>
        <v>Сходится</v>
      </c>
      <c r="K57" s="17"/>
      <c r="L57" s="31"/>
    </row>
    <row r="58" customFormat="false" ht="15" hidden="false" customHeight="false" outlineLevel="0" collapsed="false">
      <c r="A58" s="26" t="s">
        <v>87</v>
      </c>
      <c r="B58" s="26" t="str">
        <f aca="false">INDEX(Справочник!$B$5:$B$28,MATCH(A58,Справочник!$A$5:$A$28,0))</f>
        <v>Кисть плоская 50 мм</v>
      </c>
      <c r="C58" s="26" t="s">
        <v>118</v>
      </c>
      <c r="D58" s="26" t="n">
        <f aca="false">SUMIFS(Учёт!$D$5:$D$77,Учёт!$F$5:$F$77,A58,Учёт!$A$5:$A$77,C58)</f>
        <v>37</v>
      </c>
      <c r="E58" s="26" t="n">
        <f aca="false">SUMIFS(Инвентаризация!$G$5:$G$91,Инвентаризация!$F$5:$F$91,A58,Инвентаризация!$A$5:$A$91,C58)</f>
        <v>37</v>
      </c>
      <c r="F58" s="27" t="n">
        <f aca="false">E58-D58</f>
        <v>0</v>
      </c>
      <c r="G58" s="28" t="n">
        <f aca="false">INDEX(Справочник!$G$5:$G$28,MATCH(A58,Справочник!$A$5:$A$28,0))</f>
        <v>1.9</v>
      </c>
      <c r="H58" s="29" t="n">
        <f aca="false">F58*G58</f>
        <v>0</v>
      </c>
      <c r="I58" s="29" t="n">
        <f aca="false">ABS(H58)</f>
        <v>0</v>
      </c>
      <c r="J58" s="30" t="str">
        <f aca="false">IF(F58=0,"Сходится",IF(I58&gt;=Причины!$C$4,"Крупное","Мелкое"))</f>
        <v>Сходится</v>
      </c>
      <c r="K58" s="17"/>
      <c r="L58" s="31"/>
    </row>
    <row r="59" customFormat="false" ht="15" hidden="false" customHeight="false" outlineLevel="0" collapsed="false">
      <c r="A59" s="26" t="s">
        <v>88</v>
      </c>
      <c r="B59" s="26" t="str">
        <f aca="false">INDEX(Справочник!$B$5:$B$28,MATCH(A59,Справочник!$A$5:$A$28,0))</f>
        <v>Малярный скотч 48 мм</v>
      </c>
      <c r="C59" s="26" t="s">
        <v>118</v>
      </c>
      <c r="D59" s="26" t="n">
        <f aca="false">SUMIFS(Учёт!$D$5:$D$77,Учёт!$F$5:$F$77,A59,Учёт!$A$5:$A$77,C59)</f>
        <v>90</v>
      </c>
      <c r="E59" s="26" t="n">
        <f aca="false">SUMIFS(Инвентаризация!$G$5:$G$91,Инвентаризация!$F$5:$F$91,A59,Инвентаризация!$A$5:$A$91,C59)</f>
        <v>90</v>
      </c>
      <c r="F59" s="27" t="n">
        <f aca="false">E59-D59</f>
        <v>0</v>
      </c>
      <c r="G59" s="28" t="n">
        <f aca="false">INDEX(Справочник!$G$5:$G$28,MATCH(A59,Справочник!$A$5:$A$28,0))</f>
        <v>1.6</v>
      </c>
      <c r="H59" s="29" t="n">
        <f aca="false">F59*G59</f>
        <v>0</v>
      </c>
      <c r="I59" s="29" t="n">
        <f aca="false">ABS(H59)</f>
        <v>0</v>
      </c>
      <c r="J59" s="30" t="str">
        <f aca="false">IF(F59=0,"Сходится",IF(I59&gt;=Причины!$C$4,"Крупное","Мелкое"))</f>
        <v>Сходится</v>
      </c>
      <c r="K59" s="17"/>
      <c r="L59" s="31"/>
    </row>
    <row r="60" customFormat="false" ht="23.85" hidden="false" customHeight="false" outlineLevel="0" collapsed="false">
      <c r="A60" s="26" t="s">
        <v>89</v>
      </c>
      <c r="B60" s="26" t="str">
        <f aca="false">INDEX(Справочник!$B$5:$B$28,MATCH(A60,Справочник!$A$5:$A$28,0))</f>
        <v>Перчатки рабочие, пара</v>
      </c>
      <c r="C60" s="26" t="s">
        <v>118</v>
      </c>
      <c r="D60" s="26" t="n">
        <f aca="false">SUMIFS(Учёт!$D$5:$D$77,Учёт!$F$5:$F$77,A60,Учёт!$A$5:$A$77,C60)</f>
        <v>16</v>
      </c>
      <c r="E60" s="26" t="n">
        <f aca="false">SUMIFS(Инвентаризация!$G$5:$G$91,Инвентаризация!$F$5:$F$91,A60,Инвентаризация!$A$5:$A$91,C60)</f>
        <v>71</v>
      </c>
      <c r="F60" s="27" t="n">
        <f aca="false">E60-D60</f>
        <v>55</v>
      </c>
      <c r="G60" s="28" t="n">
        <f aca="false">INDEX(Справочник!$G$5:$G$28,MATCH(A60,Справочник!$A$5:$A$28,0))</f>
        <v>0.85</v>
      </c>
      <c r="H60" s="29" t="n">
        <f aca="false">F60*G60</f>
        <v>46.75</v>
      </c>
      <c r="I60" s="29" t="n">
        <f aca="false">ABS(H60)</f>
        <v>46.75</v>
      </c>
      <c r="J60" s="30" t="str">
        <f aca="false">IF(F60=0,"Сходится",IF(I60&gt;=Причины!$C$4,"Крупное","Мелкое"))</f>
        <v>Мелкое</v>
      </c>
      <c r="K60" s="17" t="s">
        <v>107</v>
      </c>
      <c r="L60" s="31" t="s">
        <v>119</v>
      </c>
    </row>
    <row r="61" customFormat="false" ht="15" hidden="false" customHeight="false" outlineLevel="0" collapsed="false">
      <c r="A61" s="26" t="s">
        <v>90</v>
      </c>
      <c r="B61" s="26" t="str">
        <f aca="false">INDEX(Справочник!$B$5:$B$28,MATCH(A61,Справочник!$A$5:$A$28,0))</f>
        <v>Саморезы 4×40, коробка 200 шт</v>
      </c>
      <c r="C61" s="26" t="s">
        <v>118</v>
      </c>
      <c r="D61" s="26" t="n">
        <f aca="false">SUMIFS(Учёт!$D$5:$D$77,Учёт!$F$5:$F$77,A61,Учёт!$A$5:$A$77,C61)</f>
        <v>34</v>
      </c>
      <c r="E61" s="26" t="n">
        <f aca="false">SUMIFS(Инвентаризация!$G$5:$G$91,Инвентаризация!$F$5:$F$91,A61,Инвентаризация!$A$5:$A$91,C61)</f>
        <v>34</v>
      </c>
      <c r="F61" s="27" t="n">
        <f aca="false">E61-D61</f>
        <v>0</v>
      </c>
      <c r="G61" s="28" t="n">
        <f aca="false">INDEX(Справочник!$G$5:$G$28,MATCH(A61,Справочник!$A$5:$A$28,0))</f>
        <v>4.9</v>
      </c>
      <c r="H61" s="29" t="n">
        <f aca="false">F61*G61</f>
        <v>0</v>
      </c>
      <c r="I61" s="29" t="n">
        <f aca="false">ABS(H61)</f>
        <v>0</v>
      </c>
      <c r="J61" s="30" t="str">
        <f aca="false">IF(F61=0,"Сходится",IF(I61&gt;=Причины!$C$4,"Крупное","Мелкое"))</f>
        <v>Сходится</v>
      </c>
      <c r="K61" s="17"/>
      <c r="L61" s="31"/>
    </row>
    <row r="62" customFormat="false" ht="15" hidden="false" customHeight="false" outlineLevel="0" collapsed="false">
      <c r="A62" s="26" t="s">
        <v>91</v>
      </c>
      <c r="B62" s="26" t="str">
        <f aca="false">INDEX(Справочник!$B$5:$B$28,MATCH(A62,Справочник!$A$5:$A$28,0))</f>
        <v>Дюбели 6×40, 100 шт</v>
      </c>
      <c r="C62" s="26" t="s">
        <v>118</v>
      </c>
      <c r="D62" s="26" t="n">
        <f aca="false">SUMIFS(Учёт!$D$5:$D$77,Учёт!$F$5:$F$77,A62,Учёт!$A$5:$A$77,C62)</f>
        <v>65</v>
      </c>
      <c r="E62" s="26" t="n">
        <f aca="false">SUMIFS(Инвентаризация!$G$5:$G$91,Инвентаризация!$F$5:$F$91,A62,Инвентаризация!$A$5:$A$91,C62)</f>
        <v>65</v>
      </c>
      <c r="F62" s="27" t="n">
        <f aca="false">E62-D62</f>
        <v>0</v>
      </c>
      <c r="G62" s="28" t="n">
        <f aca="false">INDEX(Справочник!$G$5:$G$28,MATCH(A62,Справочник!$A$5:$A$28,0))</f>
        <v>2.3</v>
      </c>
      <c r="H62" s="29" t="n">
        <f aca="false">F62*G62</f>
        <v>0</v>
      </c>
      <c r="I62" s="29" t="n">
        <f aca="false">ABS(H62)</f>
        <v>0</v>
      </c>
      <c r="J62" s="30" t="str">
        <f aca="false">IF(F62=0,"Сходится",IF(I62&gt;=Причины!$C$4,"Крупное","Мелкое"))</f>
        <v>Сходится</v>
      </c>
      <c r="K62" s="17"/>
      <c r="L62" s="31"/>
    </row>
    <row r="63" customFormat="false" ht="15" hidden="false" customHeight="false" outlineLevel="0" collapsed="false">
      <c r="A63" s="26" t="s">
        <v>92</v>
      </c>
      <c r="B63" s="26" t="str">
        <f aca="false">INDEX(Справочник!$B$5:$B$28,MATCH(A63,Справочник!$A$5:$A$28,0))</f>
        <v>Шпаклёвка финишная 5 кг</v>
      </c>
      <c r="C63" s="26" t="s">
        <v>118</v>
      </c>
      <c r="D63" s="26" t="n">
        <f aca="false">SUMIFS(Учёт!$D$5:$D$77,Учёт!$F$5:$F$77,A63,Учёт!$A$5:$A$77,C63)</f>
        <v>25</v>
      </c>
      <c r="E63" s="26" t="n">
        <f aca="false">SUMIFS(Инвентаризация!$G$5:$G$91,Инвентаризация!$F$5:$F$91,A63,Инвентаризация!$A$5:$A$91,C63)</f>
        <v>25</v>
      </c>
      <c r="F63" s="27" t="n">
        <f aca="false">E63-D63</f>
        <v>0</v>
      </c>
      <c r="G63" s="28" t="n">
        <f aca="false">INDEX(Справочник!$G$5:$G$28,MATCH(A63,Справочник!$A$5:$A$28,0))</f>
        <v>9.8</v>
      </c>
      <c r="H63" s="29" t="n">
        <f aca="false">F63*G63</f>
        <v>0</v>
      </c>
      <c r="I63" s="29" t="n">
        <f aca="false">ABS(H63)</f>
        <v>0</v>
      </c>
      <c r="J63" s="30" t="str">
        <f aca="false">IF(F63=0,"Сходится",IF(I63&gt;=Причины!$C$4,"Крупное","Мелкое"))</f>
        <v>Сходится</v>
      </c>
      <c r="K63" s="17"/>
      <c r="L63" s="31"/>
    </row>
    <row r="64" customFormat="false" ht="15" hidden="false" customHeight="false" outlineLevel="0" collapsed="false">
      <c r="A64" s="26" t="s">
        <v>93</v>
      </c>
      <c r="B64" s="26" t="str">
        <f aca="false">INDEX(Справочник!$B$5:$B$28,MATCH(A64,Справочник!$A$5:$A$28,0))</f>
        <v>Клей для плитки 25 кг</v>
      </c>
      <c r="C64" s="26" t="s">
        <v>118</v>
      </c>
      <c r="D64" s="26" t="n">
        <f aca="false">SUMIFS(Учёт!$D$5:$D$77,Учёт!$F$5:$F$77,A64,Учёт!$A$5:$A$77,C64)</f>
        <v>32</v>
      </c>
      <c r="E64" s="26" t="n">
        <f aca="false">SUMIFS(Инвентаризация!$G$5:$G$91,Инвентаризация!$F$5:$F$91,A64,Инвентаризация!$A$5:$A$91,C64)</f>
        <v>32</v>
      </c>
      <c r="F64" s="27" t="n">
        <f aca="false">E64-D64</f>
        <v>0</v>
      </c>
      <c r="G64" s="28" t="n">
        <f aca="false">INDEX(Справочник!$G$5:$G$28,MATCH(A64,Справочник!$A$5:$A$28,0))</f>
        <v>7.4</v>
      </c>
      <c r="H64" s="29" t="n">
        <f aca="false">F64*G64</f>
        <v>0</v>
      </c>
      <c r="I64" s="29" t="n">
        <f aca="false">ABS(H64)</f>
        <v>0</v>
      </c>
      <c r="J64" s="30" t="str">
        <f aca="false">IF(F64=0,"Сходится",IF(I64&gt;=Причины!$C$4,"Крупное","Мелкое"))</f>
        <v>Сходится</v>
      </c>
      <c r="K64" s="17"/>
      <c r="L64" s="31"/>
    </row>
    <row r="65" customFormat="false" ht="15" hidden="false" customHeight="false" outlineLevel="0" collapsed="false">
      <c r="A65" s="26" t="s">
        <v>94</v>
      </c>
      <c r="B65" s="26" t="str">
        <f aca="false">INDEX(Справочник!$B$5:$B$28,MATCH(A65,Справочник!$A$5:$A$28,0))</f>
        <v>Затирка серая 2 кг</v>
      </c>
      <c r="C65" s="26" t="s">
        <v>118</v>
      </c>
      <c r="D65" s="26" t="n">
        <f aca="false">SUMIFS(Учёт!$D$5:$D$77,Учёт!$F$5:$F$77,A65,Учёт!$A$5:$A$77,C65)</f>
        <v>32</v>
      </c>
      <c r="E65" s="26" t="n">
        <f aca="false">SUMIFS(Инвентаризация!$G$5:$G$91,Инвентаризация!$F$5:$F$91,A65,Инвентаризация!$A$5:$A$91,C65)</f>
        <v>32</v>
      </c>
      <c r="F65" s="27" t="n">
        <f aca="false">E65-D65</f>
        <v>0</v>
      </c>
      <c r="G65" s="28" t="n">
        <f aca="false">INDEX(Справочник!$G$5:$G$28,MATCH(A65,Справочник!$A$5:$A$28,0))</f>
        <v>4.1</v>
      </c>
      <c r="H65" s="29" t="n">
        <f aca="false">F65*G65</f>
        <v>0</v>
      </c>
      <c r="I65" s="29" t="n">
        <f aca="false">ABS(H65)</f>
        <v>0</v>
      </c>
      <c r="J65" s="30" t="str">
        <f aca="false">IF(F65=0,"Сходится",IF(I65&gt;=Причины!$C$4,"Крупное","Мелкое"))</f>
        <v>Сходится</v>
      </c>
      <c r="K65" s="17"/>
      <c r="L65" s="31"/>
    </row>
    <row r="66" customFormat="false" ht="15" hidden="false" customHeight="false" outlineLevel="0" collapsed="false">
      <c r="A66" s="26" t="s">
        <v>95</v>
      </c>
      <c r="B66" s="26" t="str">
        <f aca="false">INDEX(Справочник!$B$5:$B$28,MATCH(A66,Справочник!$A$5:$A$28,0))</f>
        <v>Силикон санитарный 280 мл</v>
      </c>
      <c r="C66" s="26" t="s">
        <v>118</v>
      </c>
      <c r="D66" s="26" t="n">
        <f aca="false">SUMIFS(Учёт!$D$5:$D$77,Учёт!$F$5:$F$77,A66,Учёт!$A$5:$A$77,C66)</f>
        <v>67</v>
      </c>
      <c r="E66" s="26" t="n">
        <f aca="false">SUMIFS(Инвентаризация!$G$5:$G$91,Инвентаризация!$F$5:$F$91,A66,Инвентаризация!$A$5:$A$91,C66)</f>
        <v>67</v>
      </c>
      <c r="F66" s="27" t="n">
        <f aca="false">E66-D66</f>
        <v>0</v>
      </c>
      <c r="G66" s="28" t="n">
        <f aca="false">INDEX(Справочник!$G$5:$G$28,MATCH(A66,Справочник!$A$5:$A$28,0))</f>
        <v>3.6</v>
      </c>
      <c r="H66" s="29" t="n">
        <f aca="false">F66*G66</f>
        <v>0</v>
      </c>
      <c r="I66" s="29" t="n">
        <f aca="false">ABS(H66)</f>
        <v>0</v>
      </c>
      <c r="J66" s="30" t="str">
        <f aca="false">IF(F66=0,"Сходится",IF(I66&gt;=Причины!$C$4,"Крупное","Мелкое"))</f>
        <v>Сходится</v>
      </c>
      <c r="K66" s="17"/>
      <c r="L66" s="31"/>
    </row>
    <row r="67" customFormat="false" ht="15" hidden="false" customHeight="false" outlineLevel="0" collapsed="false">
      <c r="A67" s="26" t="s">
        <v>96</v>
      </c>
      <c r="B67" s="26" t="str">
        <f aca="false">INDEX(Справочник!$B$5:$B$28,MATCH(A67,Справочник!$A$5:$A$28,0))</f>
        <v>Пена монтажная 750 мл</v>
      </c>
      <c r="C67" s="26" t="s">
        <v>118</v>
      </c>
      <c r="D67" s="26" t="n">
        <f aca="false">SUMIFS(Учёт!$D$5:$D$77,Учёт!$F$5:$F$77,A67,Учёт!$A$5:$A$77,C67)</f>
        <v>61</v>
      </c>
      <c r="E67" s="26" t="n">
        <f aca="false">SUMIFS(Инвентаризация!$G$5:$G$91,Инвентаризация!$F$5:$F$91,A67,Инвентаризация!$A$5:$A$91,C67)</f>
        <v>61</v>
      </c>
      <c r="F67" s="27" t="n">
        <f aca="false">E67-D67</f>
        <v>0</v>
      </c>
      <c r="G67" s="28" t="n">
        <f aca="false">INDEX(Справочник!$G$5:$G$28,MATCH(A67,Справочник!$A$5:$A$28,0))</f>
        <v>5.2</v>
      </c>
      <c r="H67" s="29" t="n">
        <f aca="false">F67*G67</f>
        <v>0</v>
      </c>
      <c r="I67" s="29" t="n">
        <f aca="false">ABS(H67)</f>
        <v>0</v>
      </c>
      <c r="J67" s="30" t="str">
        <f aca="false">IF(F67=0,"Сходится",IF(I67&gt;=Причины!$C$4,"Крупное","Мелкое"))</f>
        <v>Сходится</v>
      </c>
      <c r="K67" s="17"/>
      <c r="L67" s="31"/>
    </row>
    <row r="68" customFormat="false" ht="15" hidden="false" customHeight="false" outlineLevel="0" collapsed="false">
      <c r="A68" s="26" t="s">
        <v>98</v>
      </c>
      <c r="B68" s="26" t="str">
        <f aca="false">INDEX(Справочник!$B$5:$B$28,MATCH(A68,Справочник!$A$5:$A$28,0))</f>
        <v>Уровень 60 см</v>
      </c>
      <c r="C68" s="26" t="s">
        <v>118</v>
      </c>
      <c r="D68" s="26" t="n">
        <f aca="false">SUMIFS(Учёт!$D$5:$D$77,Учёт!$F$5:$F$77,A68,Учёт!$A$5:$A$77,C68)</f>
        <v>16</v>
      </c>
      <c r="E68" s="26" t="n">
        <f aca="false">SUMIFS(Инвентаризация!$G$5:$G$91,Инвентаризация!$F$5:$F$91,A68,Инвентаризация!$A$5:$A$91,C68)</f>
        <v>16</v>
      </c>
      <c r="F68" s="27" t="n">
        <f aca="false">E68-D68</f>
        <v>0</v>
      </c>
      <c r="G68" s="28" t="n">
        <f aca="false">INDEX(Справочник!$G$5:$G$28,MATCH(A68,Справочник!$A$5:$A$28,0))</f>
        <v>8.9</v>
      </c>
      <c r="H68" s="29" t="n">
        <f aca="false">F68*G68</f>
        <v>0</v>
      </c>
      <c r="I68" s="29" t="n">
        <f aca="false">ABS(H68)</f>
        <v>0</v>
      </c>
      <c r="J68" s="30" t="str">
        <f aca="false">IF(F68=0,"Сходится",IF(I68&gt;=Причины!$C$4,"Крупное","Мелкое"))</f>
        <v>Сходится</v>
      </c>
      <c r="K68" s="17"/>
      <c r="L68" s="31"/>
    </row>
    <row r="69" customFormat="false" ht="15" hidden="false" customHeight="false" outlineLevel="0" collapsed="false">
      <c r="A69" s="26" t="s">
        <v>99</v>
      </c>
      <c r="B69" s="26" t="str">
        <f aca="false">INDEX(Справочник!$B$5:$B$28,MATCH(A69,Справочник!$A$5:$A$28,0))</f>
        <v>Рулетка 5 м</v>
      </c>
      <c r="C69" s="26" t="s">
        <v>118</v>
      </c>
      <c r="D69" s="26" t="n">
        <f aca="false">SUMIFS(Учёт!$D$5:$D$77,Учёт!$F$5:$F$77,A69,Учёт!$A$5:$A$77,C69)</f>
        <v>47</v>
      </c>
      <c r="E69" s="26" t="n">
        <f aca="false">SUMIFS(Инвентаризация!$G$5:$G$91,Инвентаризация!$F$5:$F$91,A69,Инвентаризация!$A$5:$A$91,C69)</f>
        <v>47</v>
      </c>
      <c r="F69" s="27" t="n">
        <f aca="false">E69-D69</f>
        <v>0</v>
      </c>
      <c r="G69" s="28" t="n">
        <f aca="false">INDEX(Справочник!$G$5:$G$28,MATCH(A69,Справочник!$A$5:$A$28,0))</f>
        <v>4.3</v>
      </c>
      <c r="H69" s="29" t="n">
        <f aca="false">F69*G69</f>
        <v>0</v>
      </c>
      <c r="I69" s="29" t="n">
        <f aca="false">ABS(H69)</f>
        <v>0</v>
      </c>
      <c r="J69" s="30" t="str">
        <f aca="false">IF(F69=0,"Сходится",IF(I69&gt;=Причины!$C$4,"Крупное","Мелкое"))</f>
        <v>Сходится</v>
      </c>
      <c r="K69" s="17"/>
      <c r="L69" s="31"/>
    </row>
    <row r="70" customFormat="false" ht="15" hidden="false" customHeight="false" outlineLevel="0" collapsed="false">
      <c r="A70" s="26" t="s">
        <v>100</v>
      </c>
      <c r="B70" s="26" t="str">
        <f aca="false">INDEX(Справочник!$B$5:$B$28,MATCH(A70,Справочник!$A$5:$A$28,0))</f>
        <v>Молоток 500 г</v>
      </c>
      <c r="C70" s="26" t="s">
        <v>118</v>
      </c>
      <c r="D70" s="26" t="n">
        <f aca="false">SUMIFS(Учёт!$D$5:$D$77,Учёт!$F$5:$F$77,A70,Учёт!$A$5:$A$77,C70)</f>
        <v>19</v>
      </c>
      <c r="E70" s="26" t="n">
        <f aca="false">SUMIFS(Инвентаризация!$G$5:$G$91,Инвентаризация!$F$5:$F$91,A70,Инвентаризация!$A$5:$A$91,C70)</f>
        <v>19</v>
      </c>
      <c r="F70" s="27" t="n">
        <f aca="false">E70-D70</f>
        <v>0</v>
      </c>
      <c r="G70" s="28" t="n">
        <f aca="false">INDEX(Справочник!$G$5:$G$28,MATCH(A70,Справочник!$A$5:$A$28,0))</f>
        <v>7.8</v>
      </c>
      <c r="H70" s="29" t="n">
        <f aca="false">F70*G70</f>
        <v>0</v>
      </c>
      <c r="I70" s="29" t="n">
        <f aca="false">ABS(H70)</f>
        <v>0</v>
      </c>
      <c r="J70" s="30" t="str">
        <f aca="false">IF(F70=0,"Сходится",IF(I70&gt;=Причины!$C$4,"Крупное","Мелкое"))</f>
        <v>Сходится</v>
      </c>
      <c r="K70" s="17"/>
      <c r="L70" s="31"/>
    </row>
    <row r="71" customFormat="false" ht="15" hidden="false" customHeight="false" outlineLevel="0" collapsed="false">
      <c r="A71" s="26" t="s">
        <v>103</v>
      </c>
      <c r="B71" s="26" t="str">
        <f aca="false">INDEX(Справочник!$B$5:$B$28,MATCH(A71,Справочник!$A$5:$A$28,0))</f>
        <v>Нож строительный</v>
      </c>
      <c r="C71" s="26" t="s">
        <v>118</v>
      </c>
      <c r="D71" s="26" t="n">
        <f aca="false">SUMIFS(Учёт!$D$5:$D$77,Учёт!$F$5:$F$77,A71,Учёт!$A$5:$A$77,C71)</f>
        <v>40</v>
      </c>
      <c r="E71" s="26" t="n">
        <f aca="false">SUMIFS(Инвентаризация!$G$5:$G$91,Инвентаризация!$F$5:$F$91,A71,Инвентаризация!$A$5:$A$91,C71)</f>
        <v>40</v>
      </c>
      <c r="F71" s="27" t="n">
        <f aca="false">E71-D71</f>
        <v>0</v>
      </c>
      <c r="G71" s="28" t="n">
        <f aca="false">INDEX(Справочник!$G$5:$G$28,MATCH(A71,Справочник!$A$5:$A$28,0))</f>
        <v>2.1</v>
      </c>
      <c r="H71" s="29" t="n">
        <f aca="false">F71*G71</f>
        <v>0</v>
      </c>
      <c r="I71" s="29" t="n">
        <f aca="false">ABS(H71)</f>
        <v>0</v>
      </c>
      <c r="J71" s="30" t="str">
        <f aca="false">IF(F71=0,"Сходится",IF(I71&gt;=Причины!$C$4,"Крупное","Мелкое"))</f>
        <v>Сходится</v>
      </c>
      <c r="K71" s="17"/>
      <c r="L71" s="31"/>
    </row>
    <row r="72" customFormat="false" ht="15" hidden="false" customHeight="false" outlineLevel="0" collapsed="false">
      <c r="A72" s="26" t="s">
        <v>104</v>
      </c>
      <c r="B72" s="26" t="str">
        <f aca="false">INDEX(Справочник!$B$5:$B$28,MATCH(A72,Справочник!$A$5:$A$28,0))</f>
        <v>Лезвия для ножа, 10 шт</v>
      </c>
      <c r="C72" s="26" t="s">
        <v>118</v>
      </c>
      <c r="D72" s="26" t="n">
        <f aca="false">SUMIFS(Учёт!$D$5:$D$77,Учёт!$F$5:$F$77,A72,Учёт!$A$5:$A$77,C72)</f>
        <v>96</v>
      </c>
      <c r="E72" s="26" t="n">
        <f aca="false">SUMIFS(Инвентаризация!$G$5:$G$91,Инвентаризация!$F$5:$F$91,A72,Инвентаризация!$A$5:$A$91,C72)</f>
        <v>96</v>
      </c>
      <c r="F72" s="27" t="n">
        <f aca="false">E72-D72</f>
        <v>0</v>
      </c>
      <c r="G72" s="28" t="n">
        <f aca="false">INDEX(Справочник!$G$5:$G$28,MATCH(A72,Справочник!$A$5:$A$28,0))</f>
        <v>1.4</v>
      </c>
      <c r="H72" s="29" t="n">
        <f aca="false">F72*G72</f>
        <v>0</v>
      </c>
      <c r="I72" s="29" t="n">
        <f aca="false">ABS(H72)</f>
        <v>0</v>
      </c>
      <c r="J72" s="30" t="str">
        <f aca="false">IF(F72=0,"Сходится",IF(I72&gt;=Причины!$C$4,"Крупное","Мелкое"))</f>
        <v>Сходится</v>
      </c>
      <c r="K72" s="17"/>
      <c r="L72" s="31"/>
    </row>
    <row r="73" customFormat="false" ht="15" hidden="false" customHeight="false" outlineLevel="0" collapsed="false">
      <c r="A73" s="26" t="s">
        <v>105</v>
      </c>
      <c r="B73" s="26" t="str">
        <f aca="false">INDEX(Справочник!$B$5:$B$28,MATCH(A73,Справочник!$A$5:$A$28,0))</f>
        <v>Удлинитель 5 м</v>
      </c>
      <c r="C73" s="26" t="s">
        <v>118</v>
      </c>
      <c r="D73" s="26" t="n">
        <f aca="false">SUMIFS(Учёт!$D$5:$D$77,Учёт!$F$5:$F$77,A73,Учёт!$A$5:$A$77,C73)</f>
        <v>12</v>
      </c>
      <c r="E73" s="26" t="n">
        <f aca="false">SUMIFS(Инвентаризация!$G$5:$G$91,Инвентаризация!$F$5:$F$91,A73,Инвентаризация!$A$5:$A$91,C73)</f>
        <v>12</v>
      </c>
      <c r="F73" s="27" t="n">
        <f aca="false">E73-D73</f>
        <v>0</v>
      </c>
      <c r="G73" s="28" t="n">
        <f aca="false">INDEX(Справочник!$G$5:$G$28,MATCH(A73,Справочник!$A$5:$A$28,0))</f>
        <v>9.5</v>
      </c>
      <c r="H73" s="29" t="n">
        <f aca="false">F73*G73</f>
        <v>0</v>
      </c>
      <c r="I73" s="29" t="n">
        <f aca="false">ABS(H73)</f>
        <v>0</v>
      </c>
      <c r="J73" s="30" t="str">
        <f aca="false">IF(F73=0,"Сходится",IF(I73&gt;=Причины!$C$4,"Крупное","Мелкое"))</f>
        <v>Сходится</v>
      </c>
      <c r="K73" s="17"/>
      <c r="L73" s="31"/>
    </row>
    <row r="74" customFormat="false" ht="22.35" hidden="false" customHeight="false" outlineLevel="0" collapsed="false">
      <c r="A74" s="26" t="s">
        <v>106</v>
      </c>
      <c r="B74" s="26" t="str">
        <f aca="false">INDEX(Справочник!$B$5:$B$28,MATCH(A74,Справочник!$A$5:$A$28,0))</f>
        <v>Лампа LED E27 9 Вт</v>
      </c>
      <c r="C74" s="26" t="s">
        <v>118</v>
      </c>
      <c r="D74" s="26" t="n">
        <f aca="false">SUMIFS(Учёт!$D$5:$D$77,Учёт!$F$5:$F$77,A74,Учёт!$A$5:$A$77,C74)</f>
        <v>69</v>
      </c>
      <c r="E74" s="26" t="n">
        <f aca="false">SUMIFS(Инвентаризация!$G$5:$G$91,Инвентаризация!$F$5:$F$91,A74,Инвентаризация!$A$5:$A$91,C74)</f>
        <v>66</v>
      </c>
      <c r="F74" s="27" t="n">
        <f aca="false">E74-D74</f>
        <v>-3</v>
      </c>
      <c r="G74" s="28" t="n">
        <f aca="false">INDEX(Справочник!$G$5:$G$28,MATCH(A74,Справочник!$A$5:$A$28,0))</f>
        <v>1.7</v>
      </c>
      <c r="H74" s="29" t="n">
        <f aca="false">F74*G74</f>
        <v>-5.1</v>
      </c>
      <c r="I74" s="29" t="n">
        <f aca="false">ABS(H74)</f>
        <v>5.1</v>
      </c>
      <c r="J74" s="30" t="str">
        <f aca="false">IF(F74=0,"Сходится",IF(I74&gt;=Причины!$C$4,"Крупное","Мелкое"))</f>
        <v>Мелкое</v>
      </c>
      <c r="K74" s="17" t="s">
        <v>101</v>
      </c>
      <c r="L74" s="31" t="s">
        <v>120</v>
      </c>
    </row>
    <row r="75" customFormat="false" ht="15" hidden="false" customHeight="false" outlineLevel="0" collapsed="false">
      <c r="A75" s="26" t="s">
        <v>109</v>
      </c>
      <c r="B75" s="26" t="str">
        <f aca="false">INDEX(Справочник!$B$5:$B$28,MATCH(A75,Справочник!$A$5:$A$28,0))</f>
        <v>Мешки для мусора 120 л, 10 шт</v>
      </c>
      <c r="C75" s="26" t="s">
        <v>118</v>
      </c>
      <c r="D75" s="26" t="n">
        <f aca="false">SUMIFS(Учёт!$D$5:$D$77,Учёт!$F$5:$F$77,A75,Учёт!$A$5:$A$77,C75)</f>
        <v>76</v>
      </c>
      <c r="E75" s="26" t="n">
        <f aca="false">SUMIFS(Инвентаризация!$G$5:$G$91,Инвентаризация!$F$5:$F$91,A75,Инвентаризация!$A$5:$A$91,C75)</f>
        <v>76</v>
      </c>
      <c r="F75" s="27" t="n">
        <f aca="false">E75-D75</f>
        <v>0</v>
      </c>
      <c r="G75" s="28" t="n">
        <f aca="false">INDEX(Справочник!$G$5:$G$28,MATCH(A75,Справочник!$A$5:$A$28,0))</f>
        <v>2.2</v>
      </c>
      <c r="H75" s="29" t="n">
        <f aca="false">F75*G75</f>
        <v>0</v>
      </c>
      <c r="I75" s="29" t="n">
        <f aca="false">ABS(H75)</f>
        <v>0</v>
      </c>
      <c r="J75" s="30" t="str">
        <f aca="false">IF(F75=0,"Сходится",IF(I75&gt;=Причины!$C$4,"Крупное","Мелкое"))</f>
        <v>Сходится</v>
      </c>
      <c r="K75" s="17"/>
      <c r="L75" s="31"/>
    </row>
    <row r="76" customFormat="false" ht="15" hidden="false" customHeight="false" outlineLevel="0" collapsed="false">
      <c r="A76" s="26" t="s">
        <v>110</v>
      </c>
      <c r="B76" s="26" t="str">
        <f aca="false">INDEX(Справочник!$B$5:$B$28,MATCH(A76,Справочник!$A$5:$A$28,0))</f>
        <v>Плёнка защитная 4×5 м</v>
      </c>
      <c r="C76" s="26" t="s">
        <v>118</v>
      </c>
      <c r="D76" s="26" t="n">
        <f aca="false">SUMIFS(Учёт!$D$5:$D$77,Учёт!$F$5:$F$77,A76,Учёт!$A$5:$A$77,C76)</f>
        <v>79</v>
      </c>
      <c r="E76" s="26" t="n">
        <f aca="false">SUMIFS(Инвентаризация!$G$5:$G$91,Инвентаризация!$F$5:$F$91,A76,Инвентаризация!$A$5:$A$91,C76)</f>
        <v>79</v>
      </c>
      <c r="F76" s="27" t="n">
        <f aca="false">E76-D76</f>
        <v>0</v>
      </c>
      <c r="G76" s="28" t="n">
        <f aca="false">INDEX(Справочник!$G$5:$G$28,MATCH(A76,Справочник!$A$5:$A$28,0))</f>
        <v>1.3</v>
      </c>
      <c r="H76" s="29" t="n">
        <f aca="false">F76*G76</f>
        <v>0</v>
      </c>
      <c r="I76" s="29" t="n">
        <f aca="false">ABS(H76)</f>
        <v>0</v>
      </c>
      <c r="J76" s="30" t="str">
        <f aca="false">IF(F76=0,"Сходится",IF(I76&gt;=Причины!$C$4,"Крупное","Мелкое"))</f>
        <v>Сходится</v>
      </c>
      <c r="K76" s="17"/>
      <c r="L76" s="31"/>
    </row>
  </sheetData>
  <autoFilter ref="A4:L76"/>
  <conditionalFormatting sqref="A5:L76">
    <cfRule type="expression" priority="2" aboveAverage="0" equalAverage="0" bottom="0" percent="0" rank="0" text="" dxfId="9">
      <formula>$J5="Крупное"</formula>
    </cfRule>
    <cfRule type="expression" priority="3" aboveAverage="0" equalAverage="0" bottom="0" percent="0" rank="0" text="" dxfId="10">
      <formula>$J5="Мелкое"</formula>
    </cfRule>
  </conditionalFormatting>
  <conditionalFormatting sqref="J5:J76">
    <cfRule type="expression" priority="4" aboveAverage="0" equalAverage="0" bottom="0" percent="0" rank="0" text="" dxfId="11">
      <formula>$J5="Сходится"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J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6" min="4" style="0" width="14"/>
    <col collapsed="false" customWidth="true" hidden="false" outlineLevel="0" max="7" min="7" style="0" width="4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4"/>
  </cols>
  <sheetData>
    <row r="1" customFormat="false" ht="25.5" hidden="false" customHeight="true" outlineLevel="0" collapsed="false">
      <c r="A1" s="1"/>
      <c r="B1" s="2" t="s">
        <v>121</v>
      </c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1"/>
      <c r="B2" s="3" t="s">
        <v>122</v>
      </c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A4" s="1"/>
      <c r="B4" s="1" t="s">
        <v>123</v>
      </c>
      <c r="C4" s="32" t="n">
        <v>50</v>
      </c>
      <c r="D4" s="1"/>
      <c r="E4" s="1"/>
      <c r="F4" s="1"/>
      <c r="G4" s="1"/>
      <c r="H4" s="1"/>
      <c r="I4" s="1"/>
      <c r="J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33.75" hidden="false" customHeight="true" outlineLevel="0" collapsed="false">
      <c r="A6" s="1"/>
      <c r="B6" s="15" t="s">
        <v>75</v>
      </c>
      <c r="C6" s="15" t="s">
        <v>124</v>
      </c>
      <c r="D6" s="15" t="s">
        <v>125</v>
      </c>
      <c r="E6" s="15" t="s">
        <v>126</v>
      </c>
      <c r="F6" s="15" t="s">
        <v>127</v>
      </c>
      <c r="G6" s="1"/>
      <c r="H6" s="15" t="s">
        <v>67</v>
      </c>
      <c r="I6" s="15" t="s">
        <v>128</v>
      </c>
      <c r="J6" s="15" t="s">
        <v>73</v>
      </c>
    </row>
    <row r="7" customFormat="false" ht="15" hidden="false" customHeight="false" outlineLevel="0" collapsed="false">
      <c r="A7" s="1"/>
      <c r="B7" s="26" t="s">
        <v>107</v>
      </c>
      <c r="C7" s="26" t="n">
        <f aca="false">COUNTIF(Сверка!$K$5:$K$76,B7)</f>
        <v>3</v>
      </c>
      <c r="D7" s="29" t="n">
        <f aca="false">SUMIFS(Сверка!$H$5:$H$76,Сверка!$K$5:$K$76,B7)</f>
        <v>166.25</v>
      </c>
      <c r="E7" s="29" t="n">
        <f aca="false">SUMIFS(Сверка!$I$5:$I$76,Сверка!$K$5:$K$76,B7)</f>
        <v>166.25</v>
      </c>
      <c r="F7" s="30" t="s">
        <v>129</v>
      </c>
      <c r="G7" s="1"/>
      <c r="H7" s="26" t="s">
        <v>78</v>
      </c>
      <c r="I7" s="26" t="n">
        <f aca="false">COUNTIFS(Сверка!$C$5:$C$76,H7,Сверка!$J$5:$J$76,"&lt;&gt;Сходится")</f>
        <v>6</v>
      </c>
      <c r="J7" s="29" t="n">
        <f aca="false">SUMIFS(Сверка!$I$5:$I$76,Сверка!$C$5:$C$76,H7)</f>
        <v>350.5</v>
      </c>
    </row>
    <row r="8" customFormat="false" ht="15" hidden="false" customHeight="false" outlineLevel="0" collapsed="false">
      <c r="A8" s="1"/>
      <c r="B8" s="33" t="s">
        <v>82</v>
      </c>
      <c r="C8" s="33" t="n">
        <f aca="false">COUNTIF(Сверка!$K$5:$K$76,B8)</f>
        <v>4</v>
      </c>
      <c r="D8" s="34" t="n">
        <f aca="false">SUMIFS(Сверка!$H$5:$H$76,Сверка!$K$5:$K$76,B8)</f>
        <v>0</v>
      </c>
      <c r="E8" s="34" t="n">
        <f aca="false">SUMIFS(Сверка!$I$5:$I$76,Сверка!$K$5:$K$76,B8)</f>
        <v>384</v>
      </c>
      <c r="F8" s="35" t="s">
        <v>129</v>
      </c>
      <c r="G8" s="1"/>
      <c r="H8" s="33" t="s">
        <v>111</v>
      </c>
      <c r="I8" s="33" t="n">
        <f aca="false">COUNTIFS(Сверка!$C$5:$C$76,H8,Сверка!$J$5:$J$76,"&lt;&gt;Сходится")</f>
        <v>7</v>
      </c>
      <c r="J8" s="34" t="n">
        <f aca="false">SUMIFS(Сверка!$I$5:$I$76,Сверка!$C$5:$C$76,H8)</f>
        <v>568.9</v>
      </c>
    </row>
    <row r="9" customFormat="false" ht="15" hidden="false" customHeight="false" outlineLevel="0" collapsed="false">
      <c r="A9" s="1"/>
      <c r="B9" s="26" t="s">
        <v>85</v>
      </c>
      <c r="C9" s="26" t="n">
        <f aca="false">COUNTIF(Сверка!$K$5:$K$76,B9)</f>
        <v>1</v>
      </c>
      <c r="D9" s="29" t="n">
        <f aca="false">SUMIFS(Сверка!$H$5:$H$76,Сверка!$K$5:$K$76,B9)</f>
        <v>102</v>
      </c>
      <c r="E9" s="29" t="n">
        <f aca="false">SUMIFS(Сверка!$I$5:$I$76,Сверка!$K$5:$K$76,B9)</f>
        <v>102</v>
      </c>
      <c r="F9" s="30" t="s">
        <v>129</v>
      </c>
      <c r="G9" s="1"/>
      <c r="H9" s="26" t="s">
        <v>118</v>
      </c>
      <c r="I9" s="26" t="n">
        <f aca="false">COUNTIFS(Сверка!$C$5:$C$76,H9,Сверка!$J$5:$J$76,"&lt;&gt;Сходится")</f>
        <v>3</v>
      </c>
      <c r="J9" s="29" t="n">
        <f aca="false">SUMIFS(Сверка!$I$5:$I$76,Сверка!$C$5:$C$76,H9)</f>
        <v>119.05</v>
      </c>
    </row>
    <row r="10" customFormat="false" ht="15" hidden="false" customHeight="false" outlineLevel="0" collapsed="false">
      <c r="A10" s="1"/>
      <c r="B10" s="33" t="s">
        <v>115</v>
      </c>
      <c r="C10" s="33" t="n">
        <f aca="false">COUNTIF(Сверка!$K$5:$K$76,B10)</f>
        <v>1</v>
      </c>
      <c r="D10" s="34" t="n">
        <f aca="false">SUMIFS(Сверка!$H$5:$H$76,Сверка!$K$5:$K$76,B10)</f>
        <v>-116.1</v>
      </c>
      <c r="E10" s="34" t="n">
        <f aca="false">SUMIFS(Сверка!$I$5:$I$76,Сверка!$K$5:$K$76,B10)</f>
        <v>116.1</v>
      </c>
      <c r="F10" s="35" t="s">
        <v>129</v>
      </c>
      <c r="G10" s="1"/>
      <c r="H10" s="1"/>
      <c r="I10" s="1"/>
      <c r="J10" s="1"/>
    </row>
    <row r="11" customFormat="false" ht="15" hidden="false" customHeight="false" outlineLevel="0" collapsed="false">
      <c r="A11" s="1"/>
      <c r="B11" s="26" t="s">
        <v>112</v>
      </c>
      <c r="C11" s="26" t="n">
        <f aca="false">COUNTIF(Сверка!$K$5:$K$76,B11)</f>
        <v>2</v>
      </c>
      <c r="D11" s="29" t="n">
        <f aca="false">SUMIFS(Сверка!$H$5:$H$76,Сверка!$K$5:$K$76,B11)</f>
        <v>0</v>
      </c>
      <c r="E11" s="29" t="n">
        <f aca="false">SUMIFS(Сверка!$I$5:$I$76,Сверка!$K$5:$K$76,B11)</f>
        <v>232</v>
      </c>
      <c r="F11" s="30" t="s">
        <v>130</v>
      </c>
      <c r="G11" s="1"/>
      <c r="H11" s="1"/>
      <c r="I11" s="1"/>
      <c r="J11" s="1"/>
    </row>
    <row r="12" customFormat="false" ht="15" hidden="false" customHeight="false" outlineLevel="0" collapsed="false">
      <c r="A12" s="1"/>
      <c r="B12" s="33" t="s">
        <v>101</v>
      </c>
      <c r="C12" s="33" t="n">
        <f aca="false">COUNTIF(Сверка!$K$5:$K$76,B12)</f>
        <v>5</v>
      </c>
      <c r="D12" s="34" t="n">
        <f aca="false">SUMIFS(Сверка!$H$5:$H$76,Сверка!$K$5:$K$76,B12)</f>
        <v>-38.1</v>
      </c>
      <c r="E12" s="34" t="n">
        <f aca="false">SUMIFS(Сверка!$I$5:$I$76,Сверка!$K$5:$K$76,B12)</f>
        <v>38.1</v>
      </c>
      <c r="F12" s="35" t="s">
        <v>131</v>
      </c>
      <c r="G12" s="1"/>
      <c r="H12" s="1"/>
      <c r="I12" s="1"/>
      <c r="J12" s="1"/>
    </row>
    <row r="13" customFormat="false" ht="15" hidden="false" customHeight="false" outlineLevel="0" collapsed="false">
      <c r="A13" s="1"/>
      <c r="B13" s="36" t="s">
        <v>132</v>
      </c>
      <c r="C13" s="36" t="n">
        <f aca="false">SUM(C7:C12)</f>
        <v>16</v>
      </c>
      <c r="D13" s="37" t="n">
        <f aca="false">SUM(D7:D12)</f>
        <v>114.05</v>
      </c>
      <c r="E13" s="37" t="n">
        <f aca="false">SUM(E7:E12)</f>
        <v>1038.45</v>
      </c>
      <c r="F13" s="38"/>
      <c r="G13" s="1"/>
      <c r="H13" s="1"/>
      <c r="I13" s="1"/>
      <c r="J13" s="1"/>
    </row>
    <row r="14" customFormat="false" ht="15" hidden="false" customHeight="false" outlineLevel="0" collapsed="false">
      <c r="A14" s="1"/>
      <c r="B14" s="39" t="str">
        <f aca="false">IF(C13=COUNTIF(Сверка!$J$5:$J$76,"&lt;&gt;Сходится"),"✔ У каждого расхождения есть причина или пометка","✖ Есть расхождения без причины")</f>
        <v>✔ У каждого расхождения есть причина или пометка</v>
      </c>
      <c r="C14" s="1"/>
      <c r="D14" s="1"/>
      <c r="E14" s="1"/>
      <c r="F14" s="1"/>
      <c r="G14" s="1"/>
      <c r="H14" s="1"/>
      <c r="I14" s="1"/>
      <c r="J14" s="1"/>
    </row>
  </sheetData>
  <conditionalFormatting sqref="F7:F12">
    <cfRule type="expression" priority="2" aboveAverage="0" equalAverage="0" bottom="0" percent="0" rank="0" text="" dxfId="12">
      <formula>$F7="да"</formula>
    </cfRule>
    <cfRule type="expression" priority="3" aboveAverage="0" equalAverage="0" bottom="0" percent="0" rank="0" text="" dxfId="9">
      <formula>$F7="нет"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27B60"/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4" min="3" style="0" width="14"/>
    <col collapsed="false" customWidth="true" hidden="false" outlineLevel="0" max="5" min="5" style="0" width="22"/>
    <col collapsed="false" customWidth="true" hidden="false" outlineLevel="0" max="7" min="6" style="0" width="12"/>
    <col collapsed="false" customWidth="true" hidden="false" outlineLevel="0" max="8" min="8" style="0" width="40"/>
  </cols>
  <sheetData>
    <row r="1" customFormat="false" ht="25.5" hidden="false" customHeight="true" outlineLevel="0" collapsed="false">
      <c r="A1" s="2" t="s">
        <v>133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3" t="s">
        <v>134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43.5" hidden="false" customHeight="true" outlineLevel="0" collapsed="false">
      <c r="A4" s="15" t="s">
        <v>65</v>
      </c>
      <c r="B4" s="15" t="s">
        <v>66</v>
      </c>
      <c r="C4" s="15" t="s">
        <v>135</v>
      </c>
      <c r="D4" s="15" t="s">
        <v>136</v>
      </c>
      <c r="E4" s="15" t="s">
        <v>137</v>
      </c>
      <c r="F4" s="15" t="s">
        <v>138</v>
      </c>
      <c r="G4" s="15" t="s">
        <v>139</v>
      </c>
      <c r="H4" s="15" t="s">
        <v>32</v>
      </c>
    </row>
    <row r="5" customFormat="false" ht="15" hidden="false" customHeight="false" outlineLevel="0" collapsed="false">
      <c r="A5" s="40" t="s">
        <v>77</v>
      </c>
      <c r="B5" s="26" t="s">
        <v>140</v>
      </c>
      <c r="C5" s="26" t="s">
        <v>141</v>
      </c>
      <c r="D5" s="26" t="s">
        <v>142</v>
      </c>
      <c r="E5" s="26" t="s">
        <v>143</v>
      </c>
      <c r="F5" s="30" t="n">
        <v>1</v>
      </c>
      <c r="G5" s="28" t="n">
        <v>38</v>
      </c>
      <c r="H5" s="41"/>
    </row>
    <row r="6" customFormat="false" ht="15" hidden="false" customHeight="false" outlineLevel="0" collapsed="false">
      <c r="A6" s="42" t="s">
        <v>79</v>
      </c>
      <c r="B6" s="33" t="s">
        <v>144</v>
      </c>
      <c r="C6" s="33" t="s">
        <v>145</v>
      </c>
      <c r="D6" s="33" t="s">
        <v>146</v>
      </c>
      <c r="E6" s="33" t="s">
        <v>147</v>
      </c>
      <c r="F6" s="35" t="n">
        <v>1</v>
      </c>
      <c r="G6" s="43" t="n">
        <v>14.5</v>
      </c>
      <c r="H6" s="44"/>
    </row>
    <row r="7" customFormat="false" ht="15" hidden="false" customHeight="false" outlineLevel="0" collapsed="false">
      <c r="A7" s="40" t="s">
        <v>80</v>
      </c>
      <c r="B7" s="26" t="s">
        <v>148</v>
      </c>
      <c r="C7" s="26" t="s">
        <v>149</v>
      </c>
      <c r="D7" s="26" t="s">
        <v>150</v>
      </c>
      <c r="E7" s="26" t="s">
        <v>151</v>
      </c>
      <c r="F7" s="30" t="n">
        <v>1</v>
      </c>
      <c r="G7" s="28" t="n">
        <v>14.5</v>
      </c>
      <c r="H7" s="41" t="s">
        <v>152</v>
      </c>
    </row>
    <row r="8" customFormat="false" ht="15" hidden="false" customHeight="false" outlineLevel="0" collapsed="false">
      <c r="A8" s="42" t="s">
        <v>81</v>
      </c>
      <c r="B8" s="33" t="s">
        <v>153</v>
      </c>
      <c r="C8" s="33" t="s">
        <v>154</v>
      </c>
      <c r="D8" s="33" t="s">
        <v>155</v>
      </c>
      <c r="E8" s="33" t="s">
        <v>156</v>
      </c>
      <c r="F8" s="35" t="n">
        <v>1</v>
      </c>
      <c r="G8" s="43" t="n">
        <v>11.2</v>
      </c>
      <c r="H8" s="44"/>
    </row>
    <row r="9" customFormat="false" ht="15" hidden="false" customHeight="false" outlineLevel="0" collapsed="false">
      <c r="A9" s="40" t="s">
        <v>84</v>
      </c>
      <c r="B9" s="26" t="s">
        <v>157</v>
      </c>
      <c r="C9" s="26" t="s">
        <v>158</v>
      </c>
      <c r="D9" s="26" t="s">
        <v>159</v>
      </c>
      <c r="E9" s="26" t="s">
        <v>160</v>
      </c>
      <c r="F9" s="30" t="n">
        <v>10</v>
      </c>
      <c r="G9" s="28" t="n">
        <v>3.4</v>
      </c>
      <c r="H9" s="41" t="s">
        <v>161</v>
      </c>
    </row>
    <row r="10" customFormat="false" ht="15" hidden="false" customHeight="false" outlineLevel="0" collapsed="false">
      <c r="A10" s="42" t="s">
        <v>87</v>
      </c>
      <c r="B10" s="33" t="s">
        <v>162</v>
      </c>
      <c r="C10" s="33" t="s">
        <v>163</v>
      </c>
      <c r="D10" s="33" t="s">
        <v>164</v>
      </c>
      <c r="E10" s="33" t="s">
        <v>165</v>
      </c>
      <c r="F10" s="35" t="n">
        <v>12</v>
      </c>
      <c r="G10" s="43" t="n">
        <v>1.9</v>
      </c>
      <c r="H10" s="44"/>
    </row>
    <row r="11" customFormat="false" ht="15" hidden="false" customHeight="false" outlineLevel="0" collapsed="false">
      <c r="A11" s="40" t="s">
        <v>88</v>
      </c>
      <c r="B11" s="26" t="s">
        <v>166</v>
      </c>
      <c r="C11" s="26" t="s">
        <v>167</v>
      </c>
      <c r="D11" s="26" t="s">
        <v>168</v>
      </c>
      <c r="E11" s="26" t="s">
        <v>169</v>
      </c>
      <c r="F11" s="30" t="n">
        <v>24</v>
      </c>
      <c r="G11" s="28" t="n">
        <v>1.6</v>
      </c>
      <c r="H11" s="41"/>
    </row>
    <row r="12" customFormat="false" ht="15" hidden="false" customHeight="false" outlineLevel="0" collapsed="false">
      <c r="A12" s="42" t="s">
        <v>89</v>
      </c>
      <c r="B12" s="33" t="s">
        <v>170</v>
      </c>
      <c r="C12" s="33" t="s">
        <v>171</v>
      </c>
      <c r="D12" s="33" t="s">
        <v>172</v>
      </c>
      <c r="E12" s="33" t="s">
        <v>173</v>
      </c>
      <c r="F12" s="35" t="n">
        <v>12</v>
      </c>
      <c r="G12" s="43" t="n">
        <v>0.85</v>
      </c>
      <c r="H12" s="44"/>
    </row>
    <row r="13" customFormat="false" ht="15" hidden="false" customHeight="false" outlineLevel="0" collapsed="false">
      <c r="A13" s="40" t="s">
        <v>90</v>
      </c>
      <c r="B13" s="26" t="s">
        <v>174</v>
      </c>
      <c r="C13" s="26" t="s">
        <v>175</v>
      </c>
      <c r="D13" s="26" t="s">
        <v>176</v>
      </c>
      <c r="E13" s="26" t="s">
        <v>177</v>
      </c>
      <c r="F13" s="30" t="n">
        <v>10</v>
      </c>
      <c r="G13" s="28" t="n">
        <v>4.9</v>
      </c>
      <c r="H13" s="41" t="s">
        <v>178</v>
      </c>
    </row>
    <row r="14" customFormat="false" ht="15" hidden="false" customHeight="false" outlineLevel="0" collapsed="false">
      <c r="A14" s="42" t="s">
        <v>91</v>
      </c>
      <c r="B14" s="33" t="s">
        <v>179</v>
      </c>
      <c r="C14" s="33" t="s">
        <v>180</v>
      </c>
      <c r="D14" s="33" t="s">
        <v>181</v>
      </c>
      <c r="E14" s="33" t="s">
        <v>182</v>
      </c>
      <c r="F14" s="35" t="n">
        <v>20</v>
      </c>
      <c r="G14" s="43" t="n">
        <v>2.3</v>
      </c>
      <c r="H14" s="44"/>
    </row>
    <row r="15" customFormat="false" ht="15" hidden="false" customHeight="false" outlineLevel="0" collapsed="false">
      <c r="A15" s="40" t="s">
        <v>92</v>
      </c>
      <c r="B15" s="26" t="s">
        <v>183</v>
      </c>
      <c r="C15" s="26" t="s">
        <v>184</v>
      </c>
      <c r="D15" s="26" t="s">
        <v>185</v>
      </c>
      <c r="E15" s="26" t="s">
        <v>186</v>
      </c>
      <c r="F15" s="30" t="n">
        <v>1</v>
      </c>
      <c r="G15" s="28" t="n">
        <v>9.8</v>
      </c>
      <c r="H15" s="41"/>
    </row>
    <row r="16" customFormat="false" ht="15" hidden="false" customHeight="false" outlineLevel="0" collapsed="false">
      <c r="A16" s="42" t="s">
        <v>93</v>
      </c>
      <c r="B16" s="33" t="s">
        <v>187</v>
      </c>
      <c r="C16" s="33" t="s">
        <v>188</v>
      </c>
      <c r="D16" s="33" t="s">
        <v>189</v>
      </c>
      <c r="E16" s="33" t="s">
        <v>190</v>
      </c>
      <c r="F16" s="35" t="n">
        <v>1</v>
      </c>
      <c r="G16" s="43" t="n">
        <v>7.4</v>
      </c>
      <c r="H16" s="44"/>
    </row>
    <row r="17" customFormat="false" ht="15" hidden="false" customHeight="false" outlineLevel="0" collapsed="false">
      <c r="A17" s="40" t="s">
        <v>94</v>
      </c>
      <c r="B17" s="26" t="s">
        <v>191</v>
      </c>
      <c r="C17" s="26" t="s">
        <v>192</v>
      </c>
      <c r="D17" s="26" t="s">
        <v>193</v>
      </c>
      <c r="E17" s="26" t="s">
        <v>194</v>
      </c>
      <c r="F17" s="30" t="n">
        <v>1</v>
      </c>
      <c r="G17" s="28" t="n">
        <v>4.1</v>
      </c>
      <c r="H17" s="41"/>
    </row>
    <row r="18" customFormat="false" ht="15" hidden="false" customHeight="false" outlineLevel="0" collapsed="false">
      <c r="A18" s="42" t="s">
        <v>95</v>
      </c>
      <c r="B18" s="33" t="s">
        <v>195</v>
      </c>
      <c r="C18" s="33" t="s">
        <v>196</v>
      </c>
      <c r="D18" s="33" t="s">
        <v>197</v>
      </c>
      <c r="E18" s="33" t="s">
        <v>198</v>
      </c>
      <c r="F18" s="35" t="n">
        <v>12</v>
      </c>
      <c r="G18" s="43" t="n">
        <v>3.6</v>
      </c>
      <c r="H18" s="44"/>
    </row>
    <row r="19" customFormat="false" ht="15" hidden="false" customHeight="false" outlineLevel="0" collapsed="false">
      <c r="A19" s="40" t="s">
        <v>96</v>
      </c>
      <c r="B19" s="26" t="s">
        <v>199</v>
      </c>
      <c r="C19" s="26" t="s">
        <v>200</v>
      </c>
      <c r="D19" s="26" t="s">
        <v>201</v>
      </c>
      <c r="E19" s="26" t="s">
        <v>202</v>
      </c>
      <c r="F19" s="30" t="n">
        <v>12</v>
      </c>
      <c r="G19" s="28" t="n">
        <v>5.2</v>
      </c>
      <c r="H19" s="41"/>
    </row>
    <row r="20" customFormat="false" ht="15" hidden="false" customHeight="false" outlineLevel="0" collapsed="false">
      <c r="A20" s="42" t="s">
        <v>98</v>
      </c>
      <c r="B20" s="33" t="s">
        <v>203</v>
      </c>
      <c r="C20" s="33" t="s">
        <v>204</v>
      </c>
      <c r="D20" s="33" t="s">
        <v>205</v>
      </c>
      <c r="E20" s="33" t="s">
        <v>206</v>
      </c>
      <c r="F20" s="35" t="n">
        <v>1</v>
      </c>
      <c r="G20" s="43" t="n">
        <v>8.9</v>
      </c>
      <c r="H20" s="44"/>
    </row>
    <row r="21" customFormat="false" ht="15" hidden="false" customHeight="false" outlineLevel="0" collapsed="false">
      <c r="A21" s="40" t="s">
        <v>99</v>
      </c>
      <c r="B21" s="26" t="s">
        <v>207</v>
      </c>
      <c r="C21" s="26" t="s">
        <v>208</v>
      </c>
      <c r="D21" s="26" t="s">
        <v>209</v>
      </c>
      <c r="E21" s="26" t="s">
        <v>210</v>
      </c>
      <c r="F21" s="30" t="n">
        <v>6</v>
      </c>
      <c r="G21" s="28" t="n">
        <v>4.3</v>
      </c>
      <c r="H21" s="41"/>
    </row>
    <row r="22" customFormat="false" ht="15" hidden="false" customHeight="false" outlineLevel="0" collapsed="false">
      <c r="A22" s="42" t="s">
        <v>100</v>
      </c>
      <c r="B22" s="33" t="s">
        <v>211</v>
      </c>
      <c r="C22" s="33" t="s">
        <v>212</v>
      </c>
      <c r="D22" s="33" t="s">
        <v>213</v>
      </c>
      <c r="E22" s="33" t="s">
        <v>214</v>
      </c>
      <c r="F22" s="35" t="n">
        <v>1</v>
      </c>
      <c r="G22" s="43" t="n">
        <v>7.8</v>
      </c>
      <c r="H22" s="44"/>
    </row>
    <row r="23" customFormat="false" ht="15" hidden="false" customHeight="false" outlineLevel="0" collapsed="false">
      <c r="A23" s="40" t="s">
        <v>103</v>
      </c>
      <c r="B23" s="26" t="s">
        <v>215</v>
      </c>
      <c r="C23" s="26" t="s">
        <v>216</v>
      </c>
      <c r="D23" s="26" t="s">
        <v>217</v>
      </c>
      <c r="E23" s="26" t="s">
        <v>218</v>
      </c>
      <c r="F23" s="30" t="n">
        <v>12</v>
      </c>
      <c r="G23" s="28" t="n">
        <v>2.1</v>
      </c>
      <c r="H23" s="41"/>
    </row>
    <row r="24" customFormat="false" ht="15" hidden="false" customHeight="false" outlineLevel="0" collapsed="false">
      <c r="A24" s="42" t="s">
        <v>104</v>
      </c>
      <c r="B24" s="33" t="s">
        <v>219</v>
      </c>
      <c r="C24" s="33" t="s">
        <v>220</v>
      </c>
      <c r="D24" s="33" t="s">
        <v>221</v>
      </c>
      <c r="E24" s="33" t="s">
        <v>222</v>
      </c>
      <c r="F24" s="35" t="n">
        <v>20</v>
      </c>
      <c r="G24" s="43" t="n">
        <v>1.4</v>
      </c>
      <c r="H24" s="44"/>
    </row>
    <row r="25" customFormat="false" ht="15" hidden="false" customHeight="false" outlineLevel="0" collapsed="false">
      <c r="A25" s="40" t="s">
        <v>105</v>
      </c>
      <c r="B25" s="26" t="s">
        <v>223</v>
      </c>
      <c r="C25" s="26" t="s">
        <v>224</v>
      </c>
      <c r="D25" s="26" t="s">
        <v>225</v>
      </c>
      <c r="E25" s="26" t="s">
        <v>226</v>
      </c>
      <c r="F25" s="30" t="n">
        <v>1</v>
      </c>
      <c r="G25" s="28" t="n">
        <v>9.5</v>
      </c>
      <c r="H25" s="41"/>
    </row>
    <row r="26" customFormat="false" ht="15" hidden="false" customHeight="false" outlineLevel="0" collapsed="false">
      <c r="A26" s="42" t="s">
        <v>106</v>
      </c>
      <c r="B26" s="33" t="s">
        <v>227</v>
      </c>
      <c r="C26" s="33" t="s">
        <v>228</v>
      </c>
      <c r="D26" s="33" t="s">
        <v>229</v>
      </c>
      <c r="E26" s="33" t="s">
        <v>230</v>
      </c>
      <c r="F26" s="35" t="n">
        <v>10</v>
      </c>
      <c r="G26" s="43" t="n">
        <v>1.7</v>
      </c>
      <c r="H26" s="44" t="s">
        <v>231</v>
      </c>
    </row>
    <row r="27" customFormat="false" ht="15" hidden="false" customHeight="false" outlineLevel="0" collapsed="false">
      <c r="A27" s="40" t="s">
        <v>109</v>
      </c>
      <c r="B27" s="26" t="s">
        <v>232</v>
      </c>
      <c r="C27" s="26" t="s">
        <v>233</v>
      </c>
      <c r="D27" s="26" t="s">
        <v>234</v>
      </c>
      <c r="E27" s="26" t="s">
        <v>235</v>
      </c>
      <c r="F27" s="30" t="n">
        <v>20</v>
      </c>
      <c r="G27" s="28" t="n">
        <v>2.2</v>
      </c>
      <c r="H27" s="41"/>
    </row>
    <row r="28" customFormat="false" ht="15" hidden="false" customHeight="false" outlineLevel="0" collapsed="false">
      <c r="A28" s="42" t="s">
        <v>110</v>
      </c>
      <c r="B28" s="33" t="s">
        <v>236</v>
      </c>
      <c r="C28" s="33" t="s">
        <v>237</v>
      </c>
      <c r="D28" s="33" t="s">
        <v>238</v>
      </c>
      <c r="E28" s="33" t="s">
        <v>239</v>
      </c>
      <c r="F28" s="35" t="n">
        <v>25</v>
      </c>
      <c r="G28" s="43" t="n">
        <v>1.3</v>
      </c>
      <c r="H28" s="4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9C9"/>
    <pageSetUpPr fitToPage="true"/>
  </sheetPr>
  <dimension ref="A1:F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5" min="5" style="0" width="4"/>
    <col collapsed="false" customWidth="true" hidden="false" outlineLevel="0" max="6" min="6" style="0" width="16"/>
  </cols>
  <sheetData>
    <row r="1" customFormat="false" ht="25.5" hidden="false" customHeight="true" outlineLevel="0" collapsed="false">
      <c r="A1" s="2" t="s">
        <v>240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3" t="s">
        <v>241</v>
      </c>
      <c r="B2" s="1"/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33.75" hidden="false" customHeight="true" outlineLevel="0" collapsed="false">
      <c r="A4" s="15" t="s">
        <v>67</v>
      </c>
      <c r="B4" s="15" t="s">
        <v>242</v>
      </c>
      <c r="C4" s="15" t="s">
        <v>243</v>
      </c>
      <c r="D4" s="15" t="s">
        <v>244</v>
      </c>
      <c r="E4" s="45"/>
      <c r="F4" s="46" t="s">
        <v>65</v>
      </c>
    </row>
    <row r="5" customFormat="false" ht="15" hidden="false" customHeight="false" outlineLevel="0" collapsed="false">
      <c r="A5" s="47" t="s">
        <v>78</v>
      </c>
      <c r="B5" s="47" t="s">
        <v>141</v>
      </c>
      <c r="C5" s="47" t="s">
        <v>245</v>
      </c>
      <c r="D5" s="47" t="n">
        <v>33</v>
      </c>
      <c r="E5" s="1"/>
      <c r="F5" s="26" t="str">
        <f aca="false">IFERROR(INDEX(Справочник!$A$5:$A$28,MATCH(B5,Справочник!$C$5:$C$28,0)),"нет в справочнике")</f>
        <v>SD-001</v>
      </c>
    </row>
    <row r="6" customFormat="false" ht="15" hidden="false" customHeight="false" outlineLevel="0" collapsed="false">
      <c r="A6" s="48" t="s">
        <v>78</v>
      </c>
      <c r="B6" s="48" t="s">
        <v>145</v>
      </c>
      <c r="C6" s="48" t="s">
        <v>246</v>
      </c>
      <c r="D6" s="48" t="n">
        <v>61</v>
      </c>
      <c r="E6" s="1"/>
      <c r="F6" s="26" t="str">
        <f aca="false">IFERROR(INDEX(Справочник!$A$5:$A$28,MATCH(B6,Справочник!$C$5:$C$28,0)),"нет в справочнике")</f>
        <v>SD-002</v>
      </c>
    </row>
    <row r="7" customFormat="false" ht="15" hidden="false" customHeight="false" outlineLevel="0" collapsed="false">
      <c r="A7" s="47" t="s">
        <v>78</v>
      </c>
      <c r="B7" s="47" t="s">
        <v>149</v>
      </c>
      <c r="C7" s="47" t="s">
        <v>247</v>
      </c>
      <c r="D7" s="47" t="n">
        <v>46</v>
      </c>
      <c r="E7" s="1"/>
      <c r="F7" s="26" t="str">
        <f aca="false">IFERROR(INDEX(Справочник!$A$5:$A$28,MATCH(B7,Справочник!$C$5:$C$28,0)),"нет в справочнике")</f>
        <v>SD-003</v>
      </c>
    </row>
    <row r="8" customFormat="false" ht="15" hidden="false" customHeight="false" outlineLevel="0" collapsed="false">
      <c r="A8" s="48" t="s">
        <v>78</v>
      </c>
      <c r="B8" s="48" t="s">
        <v>154</v>
      </c>
      <c r="C8" s="48" t="s">
        <v>248</v>
      </c>
      <c r="D8" s="48" t="n">
        <v>49</v>
      </c>
      <c r="E8" s="1"/>
      <c r="F8" s="26" t="str">
        <f aca="false">IFERROR(INDEX(Справочник!$A$5:$A$28,MATCH(B8,Справочник!$C$5:$C$28,0)),"нет в справочнике")</f>
        <v>SD-004</v>
      </c>
    </row>
    <row r="9" customFormat="false" ht="15" hidden="false" customHeight="false" outlineLevel="0" collapsed="false">
      <c r="A9" s="47" t="s">
        <v>78</v>
      </c>
      <c r="B9" s="47" t="s">
        <v>158</v>
      </c>
      <c r="C9" s="47" t="s">
        <v>249</v>
      </c>
      <c r="D9" s="47" t="n">
        <v>60</v>
      </c>
      <c r="E9" s="1"/>
      <c r="F9" s="26" t="str">
        <f aca="false">IFERROR(INDEX(Справочник!$A$5:$A$28,MATCH(B9,Справочник!$C$5:$C$28,0)),"нет в справочнике")</f>
        <v>SD-005</v>
      </c>
    </row>
    <row r="10" customFormat="false" ht="15" hidden="false" customHeight="false" outlineLevel="0" collapsed="false">
      <c r="A10" s="48" t="s">
        <v>78</v>
      </c>
      <c r="B10" s="48" t="s">
        <v>163</v>
      </c>
      <c r="C10" s="48" t="s">
        <v>250</v>
      </c>
      <c r="D10" s="48" t="n">
        <v>81</v>
      </c>
      <c r="E10" s="1"/>
      <c r="F10" s="26" t="str">
        <f aca="false">IFERROR(INDEX(Справочник!$A$5:$A$28,MATCH(B10,Справочник!$C$5:$C$28,0)),"нет в справочнике")</f>
        <v>SD-006</v>
      </c>
    </row>
    <row r="11" customFormat="false" ht="15" hidden="false" customHeight="false" outlineLevel="0" collapsed="false">
      <c r="A11" s="47" t="s">
        <v>78</v>
      </c>
      <c r="B11" s="47" t="s">
        <v>167</v>
      </c>
      <c r="C11" s="47" t="s">
        <v>251</v>
      </c>
      <c r="D11" s="47" t="n">
        <v>201</v>
      </c>
      <c r="E11" s="1"/>
      <c r="F11" s="26" t="str">
        <f aca="false">IFERROR(INDEX(Справочник!$A$5:$A$28,MATCH(B11,Справочник!$C$5:$C$28,0)),"нет в справочнике")</f>
        <v>SD-007</v>
      </c>
    </row>
    <row r="12" customFormat="false" ht="15" hidden="false" customHeight="false" outlineLevel="0" collapsed="false">
      <c r="A12" s="48" t="s">
        <v>78</v>
      </c>
      <c r="B12" s="48" t="s">
        <v>171</v>
      </c>
      <c r="C12" s="48" t="s">
        <v>252</v>
      </c>
      <c r="D12" s="48" t="n">
        <v>125</v>
      </c>
      <c r="E12" s="1"/>
      <c r="F12" s="26" t="str">
        <f aca="false">IFERROR(INDEX(Справочник!$A$5:$A$28,MATCH(B12,Справочник!$C$5:$C$28,0)),"нет в справочнике")</f>
        <v>SD-008</v>
      </c>
    </row>
    <row r="13" customFormat="false" ht="15" hidden="false" customHeight="false" outlineLevel="0" collapsed="false">
      <c r="A13" s="47" t="s">
        <v>78</v>
      </c>
      <c r="B13" s="47" t="s">
        <v>175</v>
      </c>
      <c r="C13" s="47" t="s">
        <v>253</v>
      </c>
      <c r="D13" s="47" t="n">
        <v>63</v>
      </c>
      <c r="E13" s="1"/>
      <c r="F13" s="26" t="str">
        <f aca="false">IFERROR(INDEX(Справочник!$A$5:$A$28,MATCH(B13,Справочник!$C$5:$C$28,0)),"нет в справочнике")</f>
        <v>SD-009</v>
      </c>
    </row>
    <row r="14" customFormat="false" ht="15" hidden="false" customHeight="false" outlineLevel="0" collapsed="false">
      <c r="A14" s="48" t="s">
        <v>78</v>
      </c>
      <c r="B14" s="48" t="s">
        <v>180</v>
      </c>
      <c r="C14" s="48" t="s">
        <v>254</v>
      </c>
      <c r="D14" s="48" t="n">
        <v>74</v>
      </c>
      <c r="E14" s="1"/>
      <c r="F14" s="26" t="str">
        <f aca="false">IFERROR(INDEX(Справочник!$A$5:$A$28,MATCH(B14,Справочник!$C$5:$C$28,0)),"нет в справочнике")</f>
        <v>SD-010</v>
      </c>
    </row>
    <row r="15" customFormat="false" ht="15" hidden="false" customHeight="false" outlineLevel="0" collapsed="false">
      <c r="A15" s="47" t="s">
        <v>78</v>
      </c>
      <c r="B15" s="47" t="s">
        <v>184</v>
      </c>
      <c r="C15" s="47" t="s">
        <v>255</v>
      </c>
      <c r="D15" s="47" t="n">
        <v>48</v>
      </c>
      <c r="E15" s="1"/>
      <c r="F15" s="26" t="str">
        <f aca="false">IFERROR(INDEX(Справочник!$A$5:$A$28,MATCH(B15,Справочник!$C$5:$C$28,0)),"нет в справочнике")</f>
        <v>SD-011</v>
      </c>
    </row>
    <row r="16" customFormat="false" ht="15" hidden="false" customHeight="false" outlineLevel="0" collapsed="false">
      <c r="A16" s="48" t="s">
        <v>78</v>
      </c>
      <c r="B16" s="48" t="s">
        <v>188</v>
      </c>
      <c r="C16" s="48" t="s">
        <v>256</v>
      </c>
      <c r="D16" s="48" t="n">
        <v>71</v>
      </c>
      <c r="E16" s="1"/>
      <c r="F16" s="26" t="str">
        <f aca="false">IFERROR(INDEX(Справочник!$A$5:$A$28,MATCH(B16,Справочник!$C$5:$C$28,0)),"нет в справочнике")</f>
        <v>SD-012</v>
      </c>
    </row>
    <row r="17" customFormat="false" ht="15" hidden="false" customHeight="false" outlineLevel="0" collapsed="false">
      <c r="A17" s="47" t="s">
        <v>78</v>
      </c>
      <c r="B17" s="47" t="s">
        <v>192</v>
      </c>
      <c r="C17" s="47" t="s">
        <v>257</v>
      </c>
      <c r="D17" s="47" t="n">
        <v>38</v>
      </c>
      <c r="E17" s="1"/>
      <c r="F17" s="26" t="str">
        <f aca="false">IFERROR(INDEX(Справочник!$A$5:$A$28,MATCH(B17,Справочник!$C$5:$C$28,0)),"нет в справочнике")</f>
        <v>SD-013</v>
      </c>
    </row>
    <row r="18" customFormat="false" ht="15" hidden="false" customHeight="false" outlineLevel="0" collapsed="false">
      <c r="A18" s="48" t="s">
        <v>78</v>
      </c>
      <c r="B18" s="48" t="s">
        <v>196</v>
      </c>
      <c r="C18" s="48" t="s">
        <v>258</v>
      </c>
      <c r="D18" s="48" t="n">
        <v>110</v>
      </c>
      <c r="E18" s="1"/>
      <c r="F18" s="26" t="str">
        <f aca="false">IFERROR(INDEX(Справочник!$A$5:$A$28,MATCH(B18,Справочник!$C$5:$C$28,0)),"нет в справочнике")</f>
        <v>SD-014</v>
      </c>
    </row>
    <row r="19" customFormat="false" ht="15" hidden="false" customHeight="false" outlineLevel="0" collapsed="false">
      <c r="A19" s="47" t="s">
        <v>78</v>
      </c>
      <c r="B19" s="47" t="s">
        <v>200</v>
      </c>
      <c r="C19" s="47" t="s">
        <v>259</v>
      </c>
      <c r="D19" s="47" t="n">
        <v>88</v>
      </c>
      <c r="E19" s="1"/>
      <c r="F19" s="26" t="str">
        <f aca="false">IFERROR(INDEX(Справочник!$A$5:$A$28,MATCH(B19,Справочник!$C$5:$C$28,0)),"нет в справочнике")</f>
        <v>SD-015</v>
      </c>
    </row>
    <row r="20" customFormat="false" ht="15" hidden="false" customHeight="false" outlineLevel="0" collapsed="false">
      <c r="A20" s="48" t="s">
        <v>78</v>
      </c>
      <c r="B20" s="48" t="s">
        <v>204</v>
      </c>
      <c r="C20" s="48" t="s">
        <v>260</v>
      </c>
      <c r="D20" s="48" t="n">
        <v>21</v>
      </c>
      <c r="E20" s="1"/>
      <c r="F20" s="26" t="str">
        <f aca="false">IFERROR(INDEX(Справочник!$A$5:$A$28,MATCH(B20,Справочник!$C$5:$C$28,0)),"нет в справочнике")</f>
        <v>SD-016</v>
      </c>
    </row>
    <row r="21" customFormat="false" ht="15" hidden="false" customHeight="false" outlineLevel="0" collapsed="false">
      <c r="A21" s="47" t="s">
        <v>78</v>
      </c>
      <c r="B21" s="47" t="s">
        <v>208</v>
      </c>
      <c r="C21" s="47" t="s">
        <v>261</v>
      </c>
      <c r="D21" s="47" t="n">
        <v>52</v>
      </c>
      <c r="E21" s="1"/>
      <c r="F21" s="26" t="str">
        <f aca="false">IFERROR(INDEX(Справочник!$A$5:$A$28,MATCH(B21,Справочник!$C$5:$C$28,0)),"нет в справочнике")</f>
        <v>SD-017</v>
      </c>
    </row>
    <row r="22" customFormat="false" ht="15" hidden="false" customHeight="false" outlineLevel="0" collapsed="false">
      <c r="A22" s="48" t="s">
        <v>78</v>
      </c>
      <c r="B22" s="48" t="s">
        <v>212</v>
      </c>
      <c r="C22" s="48" t="s">
        <v>262</v>
      </c>
      <c r="D22" s="48" t="n">
        <v>19</v>
      </c>
      <c r="E22" s="1"/>
      <c r="F22" s="26" t="str">
        <f aca="false">IFERROR(INDEX(Справочник!$A$5:$A$28,MATCH(B22,Справочник!$C$5:$C$28,0)),"нет в справочнике")</f>
        <v>SD-018</v>
      </c>
    </row>
    <row r="23" customFormat="false" ht="15" hidden="false" customHeight="false" outlineLevel="0" collapsed="false">
      <c r="A23" s="47" t="s">
        <v>78</v>
      </c>
      <c r="B23" s="47" t="s">
        <v>216</v>
      </c>
      <c r="C23" s="47" t="s">
        <v>263</v>
      </c>
      <c r="D23" s="47" t="n">
        <v>91</v>
      </c>
      <c r="E23" s="1"/>
      <c r="F23" s="26" t="str">
        <f aca="false">IFERROR(INDEX(Справочник!$A$5:$A$28,MATCH(B23,Справочник!$C$5:$C$28,0)),"нет в справочнике")</f>
        <v>SD-019</v>
      </c>
    </row>
    <row r="24" customFormat="false" ht="15" hidden="false" customHeight="false" outlineLevel="0" collapsed="false">
      <c r="A24" s="48" t="s">
        <v>78</v>
      </c>
      <c r="B24" s="48" t="s">
        <v>220</v>
      </c>
      <c r="C24" s="48" t="s">
        <v>264</v>
      </c>
      <c r="D24" s="48" t="n">
        <v>128</v>
      </c>
      <c r="E24" s="1"/>
      <c r="F24" s="26" t="str">
        <f aca="false">IFERROR(INDEX(Справочник!$A$5:$A$28,MATCH(B24,Справочник!$C$5:$C$28,0)),"нет в справочнике")</f>
        <v>SD-020</v>
      </c>
    </row>
    <row r="25" customFormat="false" ht="15" hidden="false" customHeight="false" outlineLevel="0" collapsed="false">
      <c r="A25" s="47" t="s">
        <v>78</v>
      </c>
      <c r="B25" s="47" t="s">
        <v>224</v>
      </c>
      <c r="C25" s="47" t="s">
        <v>265</v>
      </c>
      <c r="D25" s="47" t="n">
        <v>53</v>
      </c>
      <c r="E25" s="1"/>
      <c r="F25" s="26" t="str">
        <f aca="false">IFERROR(INDEX(Справочник!$A$5:$A$28,MATCH(B25,Справочник!$C$5:$C$28,0)),"нет в справочнике")</f>
        <v>SD-021</v>
      </c>
    </row>
    <row r="26" customFormat="false" ht="15" hidden="false" customHeight="false" outlineLevel="0" collapsed="false">
      <c r="A26" s="48" t="s">
        <v>78</v>
      </c>
      <c r="B26" s="48" t="s">
        <v>228</v>
      </c>
      <c r="C26" s="48" t="s">
        <v>266</v>
      </c>
      <c r="D26" s="48" t="n">
        <v>98</v>
      </c>
      <c r="E26" s="1"/>
      <c r="F26" s="26" t="str">
        <f aca="false">IFERROR(INDEX(Справочник!$A$5:$A$28,MATCH(B26,Справочник!$C$5:$C$28,0)),"нет в справочнике")</f>
        <v>SD-022</v>
      </c>
    </row>
    <row r="27" customFormat="false" ht="15" hidden="false" customHeight="false" outlineLevel="0" collapsed="false">
      <c r="A27" s="47" t="s">
        <v>78</v>
      </c>
      <c r="B27" s="47" t="s">
        <v>233</v>
      </c>
      <c r="C27" s="47" t="s">
        <v>267</v>
      </c>
      <c r="D27" s="47" t="n">
        <v>73</v>
      </c>
      <c r="E27" s="1"/>
      <c r="F27" s="26" t="str">
        <f aca="false">IFERROR(INDEX(Справочник!$A$5:$A$28,MATCH(B27,Справочник!$C$5:$C$28,0)),"нет в справочнике")</f>
        <v>SD-023</v>
      </c>
    </row>
    <row r="28" customFormat="false" ht="15" hidden="false" customHeight="false" outlineLevel="0" collapsed="false">
      <c r="A28" s="48" t="s">
        <v>78</v>
      </c>
      <c r="B28" s="48" t="s">
        <v>237</v>
      </c>
      <c r="C28" s="48" t="s">
        <v>268</v>
      </c>
      <c r="D28" s="48" t="n">
        <v>139</v>
      </c>
      <c r="E28" s="1"/>
      <c r="F28" s="26" t="str">
        <f aca="false">IFERROR(INDEX(Справочник!$A$5:$A$28,MATCH(B28,Справочник!$C$5:$C$28,0)),"нет в справочнике")</f>
        <v>SD-024</v>
      </c>
    </row>
    <row r="29" customFormat="false" ht="15" hidden="false" customHeight="false" outlineLevel="0" collapsed="false">
      <c r="A29" s="47" t="s">
        <v>111</v>
      </c>
      <c r="B29" s="47" t="s">
        <v>141</v>
      </c>
      <c r="C29" s="47" t="s">
        <v>245</v>
      </c>
      <c r="D29" s="47" t="n">
        <v>17</v>
      </c>
      <c r="E29" s="1"/>
      <c r="F29" s="26" t="str">
        <f aca="false">IFERROR(INDEX(Справочник!$A$5:$A$28,MATCH(B29,Справочник!$C$5:$C$28,0)),"нет в справочнике")</f>
        <v>SD-001</v>
      </c>
    </row>
    <row r="30" customFormat="false" ht="15" hidden="false" customHeight="false" outlineLevel="0" collapsed="false">
      <c r="A30" s="48" t="s">
        <v>111</v>
      </c>
      <c r="B30" s="48" t="s">
        <v>145</v>
      </c>
      <c r="C30" s="48" t="s">
        <v>246</v>
      </c>
      <c r="D30" s="48" t="n">
        <v>40</v>
      </c>
      <c r="E30" s="1"/>
      <c r="F30" s="26" t="str">
        <f aca="false">IFERROR(INDEX(Справочник!$A$5:$A$28,MATCH(B30,Справочник!$C$5:$C$28,0)),"нет в справочнике")</f>
        <v>SD-002</v>
      </c>
    </row>
    <row r="31" customFormat="false" ht="15" hidden="false" customHeight="false" outlineLevel="0" collapsed="false">
      <c r="A31" s="47" t="s">
        <v>111</v>
      </c>
      <c r="B31" s="47" t="s">
        <v>149</v>
      </c>
      <c r="C31" s="47" t="s">
        <v>247</v>
      </c>
      <c r="D31" s="47" t="n">
        <v>6</v>
      </c>
      <c r="E31" s="1"/>
      <c r="F31" s="26" t="str">
        <f aca="false">IFERROR(INDEX(Справочник!$A$5:$A$28,MATCH(B31,Справочник!$C$5:$C$28,0)),"нет в справочнике")</f>
        <v>SD-003</v>
      </c>
    </row>
    <row r="32" customFormat="false" ht="15" hidden="false" customHeight="false" outlineLevel="0" collapsed="false">
      <c r="A32" s="48" t="s">
        <v>111</v>
      </c>
      <c r="B32" s="48" t="s">
        <v>154</v>
      </c>
      <c r="C32" s="48" t="s">
        <v>248</v>
      </c>
      <c r="D32" s="48" t="n">
        <v>25</v>
      </c>
      <c r="E32" s="1"/>
      <c r="F32" s="26" t="str">
        <f aca="false">IFERROR(INDEX(Справочник!$A$5:$A$28,MATCH(B32,Справочник!$C$5:$C$28,0)),"нет в справочнике")</f>
        <v>SD-004</v>
      </c>
    </row>
    <row r="33" customFormat="false" ht="15" hidden="false" customHeight="false" outlineLevel="0" collapsed="false">
      <c r="A33" s="47" t="s">
        <v>111</v>
      </c>
      <c r="B33" s="47" t="s">
        <v>158</v>
      </c>
      <c r="C33" s="47" t="s">
        <v>249</v>
      </c>
      <c r="D33" s="47" t="n">
        <v>41</v>
      </c>
      <c r="E33" s="1"/>
      <c r="F33" s="26" t="str">
        <f aca="false">IFERROR(INDEX(Справочник!$A$5:$A$28,MATCH(B33,Справочник!$C$5:$C$28,0)),"нет в справочнике")</f>
        <v>SD-005</v>
      </c>
    </row>
    <row r="34" customFormat="false" ht="15" hidden="false" customHeight="false" outlineLevel="0" collapsed="false">
      <c r="A34" s="48" t="s">
        <v>111</v>
      </c>
      <c r="B34" s="48" t="s">
        <v>163</v>
      </c>
      <c r="C34" s="48" t="s">
        <v>250</v>
      </c>
      <c r="D34" s="48" t="n">
        <v>42</v>
      </c>
      <c r="E34" s="1"/>
      <c r="F34" s="26" t="str">
        <f aca="false">IFERROR(INDEX(Справочник!$A$5:$A$28,MATCH(B34,Справочник!$C$5:$C$28,0)),"нет в справочнике")</f>
        <v>SD-006</v>
      </c>
    </row>
    <row r="35" customFormat="false" ht="15" hidden="false" customHeight="false" outlineLevel="0" collapsed="false">
      <c r="A35" s="47" t="s">
        <v>111</v>
      </c>
      <c r="B35" s="47" t="s">
        <v>167</v>
      </c>
      <c r="C35" s="47" t="s">
        <v>251</v>
      </c>
      <c r="D35" s="47" t="n">
        <v>59</v>
      </c>
      <c r="E35" s="1"/>
      <c r="F35" s="26" t="str">
        <f aca="false">IFERROR(INDEX(Справочник!$A$5:$A$28,MATCH(B35,Справочник!$C$5:$C$28,0)),"нет в справочнике")</f>
        <v>SD-007</v>
      </c>
    </row>
    <row r="36" customFormat="false" ht="15" hidden="false" customHeight="false" outlineLevel="0" collapsed="false">
      <c r="A36" s="48" t="s">
        <v>111</v>
      </c>
      <c r="B36" s="48" t="s">
        <v>171</v>
      </c>
      <c r="C36" s="48" t="s">
        <v>252</v>
      </c>
      <c r="D36" s="48" t="n">
        <v>78</v>
      </c>
      <c r="E36" s="1"/>
      <c r="F36" s="26" t="str">
        <f aca="false">IFERROR(INDEX(Справочник!$A$5:$A$28,MATCH(B36,Справочник!$C$5:$C$28,0)),"нет в справочнике")</f>
        <v>SD-008</v>
      </c>
    </row>
    <row r="37" customFormat="false" ht="15" hidden="false" customHeight="false" outlineLevel="0" collapsed="false">
      <c r="A37" s="47" t="s">
        <v>111</v>
      </c>
      <c r="B37" s="47" t="s">
        <v>175</v>
      </c>
      <c r="C37" s="47" t="s">
        <v>253</v>
      </c>
      <c r="D37" s="47" t="n">
        <v>26</v>
      </c>
      <c r="E37" s="1"/>
      <c r="F37" s="26" t="str">
        <f aca="false">IFERROR(INDEX(Справочник!$A$5:$A$28,MATCH(B37,Справочник!$C$5:$C$28,0)),"нет в справочнике")</f>
        <v>SD-009</v>
      </c>
    </row>
    <row r="38" customFormat="false" ht="15" hidden="false" customHeight="false" outlineLevel="0" collapsed="false">
      <c r="A38" s="48" t="s">
        <v>111</v>
      </c>
      <c r="B38" s="48" t="s">
        <v>180</v>
      </c>
      <c r="C38" s="48" t="s">
        <v>254</v>
      </c>
      <c r="D38" s="48" t="n">
        <v>41</v>
      </c>
      <c r="E38" s="1"/>
      <c r="F38" s="26" t="str">
        <f aca="false">IFERROR(INDEX(Справочник!$A$5:$A$28,MATCH(B38,Справочник!$C$5:$C$28,0)),"нет в справочнике")</f>
        <v>SD-010</v>
      </c>
    </row>
    <row r="39" customFormat="false" ht="15" hidden="false" customHeight="false" outlineLevel="0" collapsed="false">
      <c r="A39" s="47" t="s">
        <v>111</v>
      </c>
      <c r="B39" s="47" t="s">
        <v>184</v>
      </c>
      <c r="C39" s="47" t="s">
        <v>255</v>
      </c>
      <c r="D39" s="47" t="n">
        <v>28</v>
      </c>
      <c r="E39" s="1"/>
      <c r="F39" s="26" t="str">
        <f aca="false">IFERROR(INDEX(Справочник!$A$5:$A$28,MATCH(B39,Справочник!$C$5:$C$28,0)),"нет в справочнике")</f>
        <v>SD-011</v>
      </c>
    </row>
    <row r="40" customFormat="false" ht="15" hidden="false" customHeight="false" outlineLevel="0" collapsed="false">
      <c r="A40" s="48" t="s">
        <v>111</v>
      </c>
      <c r="B40" s="48" t="s">
        <v>188</v>
      </c>
      <c r="C40" s="48" t="s">
        <v>256</v>
      </c>
      <c r="D40" s="48" t="n">
        <v>49</v>
      </c>
      <c r="E40" s="1"/>
      <c r="F40" s="26" t="str">
        <f aca="false">IFERROR(INDEX(Справочник!$A$5:$A$28,MATCH(B40,Справочник!$C$5:$C$28,0)),"нет в справочнике")</f>
        <v>SD-012</v>
      </c>
    </row>
    <row r="41" customFormat="false" ht="15" hidden="false" customHeight="false" outlineLevel="0" collapsed="false">
      <c r="A41" s="47" t="s">
        <v>111</v>
      </c>
      <c r="B41" s="47" t="s">
        <v>192</v>
      </c>
      <c r="C41" s="47" t="s">
        <v>257</v>
      </c>
      <c r="D41" s="47" t="n">
        <v>35</v>
      </c>
      <c r="E41" s="1"/>
      <c r="F41" s="26" t="str">
        <f aca="false">IFERROR(INDEX(Справочник!$A$5:$A$28,MATCH(B41,Справочник!$C$5:$C$28,0)),"нет в справочнике")</f>
        <v>SD-013</v>
      </c>
    </row>
    <row r="42" customFormat="false" ht="15" hidden="false" customHeight="false" outlineLevel="0" collapsed="false">
      <c r="A42" s="48" t="s">
        <v>111</v>
      </c>
      <c r="B42" s="48" t="s">
        <v>196</v>
      </c>
      <c r="C42" s="48" t="s">
        <v>258</v>
      </c>
      <c r="D42" s="48" t="n">
        <v>32</v>
      </c>
      <c r="E42" s="1"/>
      <c r="F42" s="26" t="str">
        <f aca="false">IFERROR(INDEX(Справочник!$A$5:$A$28,MATCH(B42,Справочник!$C$5:$C$28,0)),"нет в справочнике")</f>
        <v>SD-014</v>
      </c>
    </row>
    <row r="43" customFormat="false" ht="15" hidden="false" customHeight="false" outlineLevel="0" collapsed="false">
      <c r="A43" s="47" t="s">
        <v>111</v>
      </c>
      <c r="B43" s="47" t="s">
        <v>200</v>
      </c>
      <c r="C43" s="47" t="s">
        <v>259</v>
      </c>
      <c r="D43" s="47" t="n">
        <v>43</v>
      </c>
      <c r="E43" s="1"/>
      <c r="F43" s="26" t="str">
        <f aca="false">IFERROR(INDEX(Справочник!$A$5:$A$28,MATCH(B43,Справочник!$C$5:$C$28,0)),"нет в справочнике")</f>
        <v>SD-015</v>
      </c>
    </row>
    <row r="44" customFormat="false" ht="15" hidden="false" customHeight="false" outlineLevel="0" collapsed="false">
      <c r="A44" s="48" t="s">
        <v>111</v>
      </c>
      <c r="B44" s="48" t="s">
        <v>204</v>
      </c>
      <c r="C44" s="48" t="s">
        <v>260</v>
      </c>
      <c r="D44" s="48" t="n">
        <v>19</v>
      </c>
      <c r="E44" s="1"/>
      <c r="F44" s="26" t="str">
        <f aca="false">IFERROR(INDEX(Справочник!$A$5:$A$28,MATCH(B44,Справочник!$C$5:$C$28,0)),"нет в справочнике")</f>
        <v>SD-016</v>
      </c>
    </row>
    <row r="45" customFormat="false" ht="15" hidden="false" customHeight="false" outlineLevel="0" collapsed="false">
      <c r="A45" s="47" t="s">
        <v>111</v>
      </c>
      <c r="B45" s="47" t="s">
        <v>208</v>
      </c>
      <c r="C45" s="47" t="s">
        <v>261</v>
      </c>
      <c r="D45" s="47" t="n">
        <v>85</v>
      </c>
      <c r="E45" s="1"/>
      <c r="F45" s="26" t="str">
        <f aca="false">IFERROR(INDEX(Справочник!$A$5:$A$28,MATCH(B45,Справочник!$C$5:$C$28,0)),"нет в справочнике")</f>
        <v>SD-017</v>
      </c>
    </row>
    <row r="46" customFormat="false" ht="15" hidden="false" customHeight="false" outlineLevel="0" collapsed="false">
      <c r="A46" s="48" t="s">
        <v>111</v>
      </c>
      <c r="B46" s="48" t="s">
        <v>212</v>
      </c>
      <c r="C46" s="48" t="s">
        <v>262</v>
      </c>
      <c r="D46" s="48" t="n">
        <v>11</v>
      </c>
      <c r="E46" s="1"/>
      <c r="F46" s="26" t="str">
        <f aca="false">IFERROR(INDEX(Справочник!$A$5:$A$28,MATCH(B46,Справочник!$C$5:$C$28,0)),"нет в справочнике")</f>
        <v>SD-018</v>
      </c>
    </row>
    <row r="47" customFormat="false" ht="15" hidden="false" customHeight="false" outlineLevel="0" collapsed="false">
      <c r="A47" s="47" t="s">
        <v>111</v>
      </c>
      <c r="B47" s="47" t="s">
        <v>216</v>
      </c>
      <c r="C47" s="47" t="s">
        <v>263</v>
      </c>
      <c r="D47" s="47" t="n">
        <v>41</v>
      </c>
      <c r="E47" s="1"/>
      <c r="F47" s="26" t="str">
        <f aca="false">IFERROR(INDEX(Справочник!$A$5:$A$28,MATCH(B47,Справочник!$C$5:$C$28,0)),"нет в справочнике")</f>
        <v>SD-019</v>
      </c>
    </row>
    <row r="48" customFormat="false" ht="15" hidden="false" customHeight="false" outlineLevel="0" collapsed="false">
      <c r="A48" s="48" t="s">
        <v>111</v>
      </c>
      <c r="B48" s="48" t="s">
        <v>220</v>
      </c>
      <c r="C48" s="48" t="s">
        <v>264</v>
      </c>
      <c r="D48" s="48" t="n">
        <v>56</v>
      </c>
      <c r="E48" s="1"/>
      <c r="F48" s="26" t="str">
        <f aca="false">IFERROR(INDEX(Справочник!$A$5:$A$28,MATCH(B48,Справочник!$C$5:$C$28,0)),"нет в справочнике")</f>
        <v>SD-020</v>
      </c>
    </row>
    <row r="49" customFormat="false" ht="15" hidden="false" customHeight="false" outlineLevel="0" collapsed="false">
      <c r="A49" s="47" t="s">
        <v>111</v>
      </c>
      <c r="B49" s="47" t="s">
        <v>224</v>
      </c>
      <c r="C49" s="47" t="s">
        <v>265</v>
      </c>
      <c r="D49" s="47" t="n">
        <v>23</v>
      </c>
      <c r="E49" s="1"/>
      <c r="F49" s="26" t="str">
        <f aca="false">IFERROR(INDEX(Справочник!$A$5:$A$28,MATCH(B49,Справочник!$C$5:$C$28,0)),"нет в справочнике")</f>
        <v>SD-021</v>
      </c>
    </row>
    <row r="50" customFormat="false" ht="15" hidden="false" customHeight="false" outlineLevel="0" collapsed="false">
      <c r="A50" s="48" t="s">
        <v>111</v>
      </c>
      <c r="B50" s="48" t="s">
        <v>228</v>
      </c>
      <c r="C50" s="48" t="s">
        <v>266</v>
      </c>
      <c r="D50" s="48" t="n">
        <v>100</v>
      </c>
      <c r="E50" s="1"/>
      <c r="F50" s="26" t="str">
        <f aca="false">IFERROR(INDEX(Справочник!$A$5:$A$28,MATCH(B50,Справочник!$C$5:$C$28,0)),"нет в справочнике")</f>
        <v>SD-022</v>
      </c>
    </row>
    <row r="51" customFormat="false" ht="15" hidden="false" customHeight="false" outlineLevel="0" collapsed="false">
      <c r="A51" s="47" t="s">
        <v>111</v>
      </c>
      <c r="B51" s="47" t="s">
        <v>233</v>
      </c>
      <c r="C51" s="47" t="s">
        <v>267</v>
      </c>
      <c r="D51" s="47" t="n">
        <v>46</v>
      </c>
      <c r="E51" s="1"/>
      <c r="F51" s="26" t="str">
        <f aca="false">IFERROR(INDEX(Справочник!$A$5:$A$28,MATCH(B51,Справочник!$C$5:$C$28,0)),"нет в справочнике")</f>
        <v>SD-023</v>
      </c>
    </row>
    <row r="52" customFormat="false" ht="15" hidden="false" customHeight="false" outlineLevel="0" collapsed="false">
      <c r="A52" s="48" t="s">
        <v>111</v>
      </c>
      <c r="B52" s="48" t="s">
        <v>237</v>
      </c>
      <c r="C52" s="48" t="s">
        <v>268</v>
      </c>
      <c r="D52" s="48" t="n">
        <v>58</v>
      </c>
      <c r="E52" s="1"/>
      <c r="F52" s="26" t="str">
        <f aca="false">IFERROR(INDEX(Справочник!$A$5:$A$28,MATCH(B52,Справочник!$C$5:$C$28,0)),"нет в справочнике")</f>
        <v>SD-024</v>
      </c>
    </row>
    <row r="53" customFormat="false" ht="15" hidden="false" customHeight="false" outlineLevel="0" collapsed="false">
      <c r="A53" s="47" t="s">
        <v>118</v>
      </c>
      <c r="B53" s="47" t="s">
        <v>141</v>
      </c>
      <c r="C53" s="47" t="s">
        <v>245</v>
      </c>
      <c r="D53" s="47" t="n">
        <v>41</v>
      </c>
      <c r="E53" s="1"/>
      <c r="F53" s="26" t="str">
        <f aca="false">IFERROR(INDEX(Справочник!$A$5:$A$28,MATCH(B53,Справочник!$C$5:$C$28,0)),"нет в справочнике")</f>
        <v>SD-001</v>
      </c>
    </row>
    <row r="54" customFormat="false" ht="15" hidden="false" customHeight="false" outlineLevel="0" collapsed="false">
      <c r="A54" s="48" t="s">
        <v>118</v>
      </c>
      <c r="B54" s="48" t="s">
        <v>145</v>
      </c>
      <c r="C54" s="48" t="s">
        <v>246</v>
      </c>
      <c r="D54" s="48" t="n">
        <v>58</v>
      </c>
      <c r="E54" s="1"/>
      <c r="F54" s="26" t="str">
        <f aca="false">IFERROR(INDEX(Справочник!$A$5:$A$28,MATCH(B54,Справочник!$C$5:$C$28,0)),"нет в справочнике")</f>
        <v>SD-002</v>
      </c>
    </row>
    <row r="55" customFormat="false" ht="15" hidden="false" customHeight="false" outlineLevel="0" collapsed="false">
      <c r="A55" s="47" t="s">
        <v>118</v>
      </c>
      <c r="B55" s="47" t="s">
        <v>149</v>
      </c>
      <c r="C55" s="47" t="s">
        <v>247</v>
      </c>
      <c r="D55" s="47" t="n">
        <v>18</v>
      </c>
      <c r="E55" s="1"/>
      <c r="F55" s="26" t="str">
        <f aca="false">IFERROR(INDEX(Справочник!$A$5:$A$28,MATCH(B55,Справочник!$C$5:$C$28,0)),"нет в справочнике")</f>
        <v>SD-003</v>
      </c>
    </row>
    <row r="56" customFormat="false" ht="15" hidden="false" customHeight="false" outlineLevel="0" collapsed="false">
      <c r="A56" s="48" t="s">
        <v>118</v>
      </c>
      <c r="B56" s="48" t="s">
        <v>154</v>
      </c>
      <c r="C56" s="48" t="s">
        <v>248</v>
      </c>
      <c r="D56" s="48" t="n">
        <v>12</v>
      </c>
      <c r="E56" s="1"/>
      <c r="F56" s="26" t="str">
        <f aca="false">IFERROR(INDEX(Справочник!$A$5:$A$28,MATCH(B56,Справочник!$C$5:$C$28,0)),"нет в справочнике")</f>
        <v>SD-004</v>
      </c>
    </row>
    <row r="57" customFormat="false" ht="15" hidden="false" customHeight="false" outlineLevel="0" collapsed="false">
      <c r="A57" s="47" t="s">
        <v>118</v>
      </c>
      <c r="B57" s="47" t="s">
        <v>158</v>
      </c>
      <c r="C57" s="47" t="s">
        <v>249</v>
      </c>
      <c r="D57" s="47" t="n">
        <v>45</v>
      </c>
      <c r="E57" s="1"/>
      <c r="F57" s="26" t="str">
        <f aca="false">IFERROR(INDEX(Справочник!$A$5:$A$28,MATCH(B57,Справочник!$C$5:$C$28,0)),"нет в справочнике")</f>
        <v>SD-005</v>
      </c>
    </row>
    <row r="58" customFormat="false" ht="15" hidden="false" customHeight="false" outlineLevel="0" collapsed="false">
      <c r="A58" s="48" t="s">
        <v>118</v>
      </c>
      <c r="B58" s="48" t="s">
        <v>163</v>
      </c>
      <c r="C58" s="48" t="s">
        <v>250</v>
      </c>
      <c r="D58" s="48" t="n">
        <v>37</v>
      </c>
      <c r="E58" s="1"/>
      <c r="F58" s="26" t="str">
        <f aca="false">IFERROR(INDEX(Справочник!$A$5:$A$28,MATCH(B58,Справочник!$C$5:$C$28,0)),"нет в справочнике")</f>
        <v>SD-006</v>
      </c>
    </row>
    <row r="59" customFormat="false" ht="15" hidden="false" customHeight="false" outlineLevel="0" collapsed="false">
      <c r="A59" s="47" t="s">
        <v>118</v>
      </c>
      <c r="B59" s="47" t="s">
        <v>167</v>
      </c>
      <c r="C59" s="47" t="s">
        <v>251</v>
      </c>
      <c r="D59" s="47" t="n">
        <v>90</v>
      </c>
      <c r="E59" s="1"/>
      <c r="F59" s="26" t="str">
        <f aca="false">IFERROR(INDEX(Справочник!$A$5:$A$28,MATCH(B59,Справочник!$C$5:$C$28,0)),"нет в справочнике")</f>
        <v>SD-007</v>
      </c>
    </row>
    <row r="60" customFormat="false" ht="15" hidden="false" customHeight="false" outlineLevel="0" collapsed="false">
      <c r="A60" s="48" t="s">
        <v>118</v>
      </c>
      <c r="B60" s="48" t="s">
        <v>171</v>
      </c>
      <c r="C60" s="48" t="s">
        <v>252</v>
      </c>
      <c r="D60" s="48" t="n">
        <v>16</v>
      </c>
      <c r="E60" s="1"/>
      <c r="F60" s="26" t="str">
        <f aca="false">IFERROR(INDEX(Справочник!$A$5:$A$28,MATCH(B60,Справочник!$C$5:$C$28,0)),"нет в справочнике")</f>
        <v>SD-008</v>
      </c>
    </row>
    <row r="61" customFormat="false" ht="15" hidden="false" customHeight="false" outlineLevel="0" collapsed="false">
      <c r="A61" s="47" t="s">
        <v>118</v>
      </c>
      <c r="B61" s="47" t="s">
        <v>175</v>
      </c>
      <c r="C61" s="47" t="s">
        <v>253</v>
      </c>
      <c r="D61" s="47" t="n">
        <v>34</v>
      </c>
      <c r="E61" s="1"/>
      <c r="F61" s="26" t="str">
        <f aca="false">IFERROR(INDEX(Справочник!$A$5:$A$28,MATCH(B61,Справочник!$C$5:$C$28,0)),"нет в справочнике")</f>
        <v>SD-009</v>
      </c>
    </row>
    <row r="62" customFormat="false" ht="15" hidden="false" customHeight="false" outlineLevel="0" collapsed="false">
      <c r="A62" s="48" t="s">
        <v>118</v>
      </c>
      <c r="B62" s="48" t="s">
        <v>180</v>
      </c>
      <c r="C62" s="48" t="s">
        <v>254</v>
      </c>
      <c r="D62" s="48" t="n">
        <v>65</v>
      </c>
      <c r="E62" s="1"/>
      <c r="F62" s="26" t="str">
        <f aca="false">IFERROR(INDEX(Справочник!$A$5:$A$28,MATCH(B62,Справочник!$C$5:$C$28,0)),"нет в справочнике")</f>
        <v>SD-010</v>
      </c>
    </row>
    <row r="63" customFormat="false" ht="15" hidden="false" customHeight="false" outlineLevel="0" collapsed="false">
      <c r="A63" s="47" t="s">
        <v>118</v>
      </c>
      <c r="B63" s="47" t="s">
        <v>184</v>
      </c>
      <c r="C63" s="47" t="s">
        <v>255</v>
      </c>
      <c r="D63" s="47" t="n">
        <v>25</v>
      </c>
      <c r="E63" s="1"/>
      <c r="F63" s="26" t="str">
        <f aca="false">IFERROR(INDEX(Справочник!$A$5:$A$28,MATCH(B63,Справочник!$C$5:$C$28,0)),"нет в справочнике")</f>
        <v>SD-011</v>
      </c>
    </row>
    <row r="64" customFormat="false" ht="15" hidden="false" customHeight="false" outlineLevel="0" collapsed="false">
      <c r="A64" s="48" t="s">
        <v>118</v>
      </c>
      <c r="B64" s="48" t="s">
        <v>188</v>
      </c>
      <c r="C64" s="48" t="s">
        <v>256</v>
      </c>
      <c r="D64" s="48" t="n">
        <v>32</v>
      </c>
      <c r="E64" s="1"/>
      <c r="F64" s="26" t="str">
        <f aca="false">IFERROR(INDEX(Справочник!$A$5:$A$28,MATCH(B64,Справочник!$C$5:$C$28,0)),"нет в справочнике")</f>
        <v>SD-012</v>
      </c>
    </row>
    <row r="65" customFormat="false" ht="15" hidden="false" customHeight="false" outlineLevel="0" collapsed="false">
      <c r="A65" s="47" t="s">
        <v>118</v>
      </c>
      <c r="B65" s="47" t="s">
        <v>192</v>
      </c>
      <c r="C65" s="47" t="s">
        <v>257</v>
      </c>
      <c r="D65" s="47" t="n">
        <v>32</v>
      </c>
      <c r="E65" s="1"/>
      <c r="F65" s="26" t="str">
        <f aca="false">IFERROR(INDEX(Справочник!$A$5:$A$28,MATCH(B65,Справочник!$C$5:$C$28,0)),"нет в справочнике")</f>
        <v>SD-013</v>
      </c>
    </row>
    <row r="66" customFormat="false" ht="15" hidden="false" customHeight="false" outlineLevel="0" collapsed="false">
      <c r="A66" s="48" t="s">
        <v>118</v>
      </c>
      <c r="B66" s="48" t="s">
        <v>196</v>
      </c>
      <c r="C66" s="48" t="s">
        <v>258</v>
      </c>
      <c r="D66" s="48" t="n">
        <v>67</v>
      </c>
      <c r="E66" s="1"/>
      <c r="F66" s="26" t="str">
        <f aca="false">IFERROR(INDEX(Справочник!$A$5:$A$28,MATCH(B66,Справочник!$C$5:$C$28,0)),"нет в справочнике")</f>
        <v>SD-014</v>
      </c>
    </row>
    <row r="67" customFormat="false" ht="15" hidden="false" customHeight="false" outlineLevel="0" collapsed="false">
      <c r="A67" s="47" t="s">
        <v>118</v>
      </c>
      <c r="B67" s="47" t="s">
        <v>200</v>
      </c>
      <c r="C67" s="47" t="s">
        <v>259</v>
      </c>
      <c r="D67" s="47" t="n">
        <v>61</v>
      </c>
      <c r="E67" s="1"/>
      <c r="F67" s="26" t="str">
        <f aca="false">IFERROR(INDEX(Справочник!$A$5:$A$28,MATCH(B67,Справочник!$C$5:$C$28,0)),"нет в справочнике")</f>
        <v>SD-015</v>
      </c>
    </row>
    <row r="68" customFormat="false" ht="15" hidden="false" customHeight="false" outlineLevel="0" collapsed="false">
      <c r="A68" s="48" t="s">
        <v>118</v>
      </c>
      <c r="B68" s="48" t="s">
        <v>204</v>
      </c>
      <c r="C68" s="48" t="s">
        <v>260</v>
      </c>
      <c r="D68" s="48" t="n">
        <v>16</v>
      </c>
      <c r="E68" s="1"/>
      <c r="F68" s="26" t="str">
        <f aca="false">IFERROR(INDEX(Справочник!$A$5:$A$28,MATCH(B68,Справочник!$C$5:$C$28,0)),"нет в справочнике")</f>
        <v>SD-016</v>
      </c>
    </row>
    <row r="69" customFormat="false" ht="15" hidden="false" customHeight="false" outlineLevel="0" collapsed="false">
      <c r="A69" s="47" t="s">
        <v>118</v>
      </c>
      <c r="B69" s="47" t="s">
        <v>208</v>
      </c>
      <c r="C69" s="47" t="s">
        <v>261</v>
      </c>
      <c r="D69" s="47" t="n">
        <v>47</v>
      </c>
      <c r="E69" s="1"/>
      <c r="F69" s="26" t="str">
        <f aca="false">IFERROR(INDEX(Справочник!$A$5:$A$28,MATCH(B69,Справочник!$C$5:$C$28,0)),"нет в справочнике")</f>
        <v>SD-017</v>
      </c>
    </row>
    <row r="70" customFormat="false" ht="15" hidden="false" customHeight="false" outlineLevel="0" collapsed="false">
      <c r="A70" s="48" t="s">
        <v>118</v>
      </c>
      <c r="B70" s="48" t="s">
        <v>212</v>
      </c>
      <c r="C70" s="48" t="s">
        <v>262</v>
      </c>
      <c r="D70" s="48" t="n">
        <v>19</v>
      </c>
      <c r="E70" s="1"/>
      <c r="F70" s="26" t="str">
        <f aca="false">IFERROR(INDEX(Справочник!$A$5:$A$28,MATCH(B70,Справочник!$C$5:$C$28,0)),"нет в справочнике")</f>
        <v>SD-018</v>
      </c>
    </row>
    <row r="71" customFormat="false" ht="15" hidden="false" customHeight="false" outlineLevel="0" collapsed="false">
      <c r="A71" s="47" t="s">
        <v>118</v>
      </c>
      <c r="B71" s="47" t="s">
        <v>216</v>
      </c>
      <c r="C71" s="47" t="s">
        <v>263</v>
      </c>
      <c r="D71" s="47" t="n">
        <v>40</v>
      </c>
      <c r="E71" s="1"/>
      <c r="F71" s="26" t="str">
        <f aca="false">IFERROR(INDEX(Справочник!$A$5:$A$28,MATCH(B71,Справочник!$C$5:$C$28,0)),"нет в справочнике")</f>
        <v>SD-019</v>
      </c>
    </row>
    <row r="72" customFormat="false" ht="15" hidden="false" customHeight="false" outlineLevel="0" collapsed="false">
      <c r="A72" s="48" t="s">
        <v>118</v>
      </c>
      <c r="B72" s="48" t="s">
        <v>220</v>
      </c>
      <c r="C72" s="48" t="s">
        <v>264</v>
      </c>
      <c r="D72" s="48" t="n">
        <v>96</v>
      </c>
      <c r="E72" s="1"/>
      <c r="F72" s="26" t="str">
        <f aca="false">IFERROR(INDEX(Справочник!$A$5:$A$28,MATCH(B72,Справочник!$C$5:$C$28,0)),"нет в справочнике")</f>
        <v>SD-020</v>
      </c>
    </row>
    <row r="73" customFormat="false" ht="15" hidden="false" customHeight="false" outlineLevel="0" collapsed="false">
      <c r="A73" s="47" t="s">
        <v>118</v>
      </c>
      <c r="B73" s="47" t="s">
        <v>224</v>
      </c>
      <c r="C73" s="47" t="s">
        <v>265</v>
      </c>
      <c r="D73" s="47" t="n">
        <v>12</v>
      </c>
      <c r="E73" s="1"/>
      <c r="F73" s="26" t="str">
        <f aca="false">IFERROR(INDEX(Справочник!$A$5:$A$28,MATCH(B73,Справочник!$C$5:$C$28,0)),"нет в справочнике")</f>
        <v>SD-021</v>
      </c>
    </row>
    <row r="74" customFormat="false" ht="15" hidden="false" customHeight="false" outlineLevel="0" collapsed="false">
      <c r="A74" s="48" t="s">
        <v>118</v>
      </c>
      <c r="B74" s="48" t="s">
        <v>228</v>
      </c>
      <c r="C74" s="48" t="s">
        <v>266</v>
      </c>
      <c r="D74" s="48" t="n">
        <v>69</v>
      </c>
      <c r="E74" s="1"/>
      <c r="F74" s="26" t="str">
        <f aca="false">IFERROR(INDEX(Справочник!$A$5:$A$28,MATCH(B74,Справочник!$C$5:$C$28,0)),"нет в справочнике")</f>
        <v>SD-022</v>
      </c>
    </row>
    <row r="75" customFormat="false" ht="15" hidden="false" customHeight="false" outlineLevel="0" collapsed="false">
      <c r="A75" s="47" t="s">
        <v>118</v>
      </c>
      <c r="B75" s="47" t="s">
        <v>233</v>
      </c>
      <c r="C75" s="47" t="s">
        <v>267</v>
      </c>
      <c r="D75" s="47" t="n">
        <v>76</v>
      </c>
      <c r="E75" s="1"/>
      <c r="F75" s="26" t="str">
        <f aca="false">IFERROR(INDEX(Справочник!$A$5:$A$28,MATCH(B75,Справочник!$C$5:$C$28,0)),"нет в справочнике")</f>
        <v>SD-023</v>
      </c>
    </row>
    <row r="76" customFormat="false" ht="15" hidden="false" customHeight="false" outlineLevel="0" collapsed="false">
      <c r="A76" s="48" t="s">
        <v>118</v>
      </c>
      <c r="B76" s="48" t="s">
        <v>237</v>
      </c>
      <c r="C76" s="48" t="s">
        <v>268</v>
      </c>
      <c r="D76" s="48" t="n">
        <v>79</v>
      </c>
      <c r="E76" s="1"/>
      <c r="F76" s="26" t="str">
        <f aca="false">IFERROR(INDEX(Справочник!$A$5:$A$28,MATCH(B76,Справочник!$C$5:$C$28,0)),"нет в справочнике")</f>
        <v>SD-024</v>
      </c>
    </row>
    <row r="77" customFormat="false" ht="15" hidden="false" customHeight="false" outlineLevel="0" collapsed="false">
      <c r="A77" s="47" t="s">
        <v>78</v>
      </c>
      <c r="B77" s="47" t="s">
        <v>269</v>
      </c>
      <c r="C77" s="47" t="s">
        <v>270</v>
      </c>
      <c r="D77" s="47" t="n">
        <v>30</v>
      </c>
      <c r="E77" s="1"/>
      <c r="F77" s="26" t="str">
        <f aca="false">IFERROR(INDEX(Справочник!$A$5:$A$28,MATCH(B77,Справочник!$C$5:$C$28,0)),"нет в справочнике")</f>
        <v>нет в справочнике</v>
      </c>
    </row>
  </sheetData>
  <autoFilter ref="A4:F77"/>
  <conditionalFormatting sqref="A5:F77">
    <cfRule type="expression" priority="2" aboveAverage="0" equalAverage="0" bottom="0" percent="0" rank="0" text="" dxfId="16">
      <formula>$F5="нет в справочнике"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9C9"/>
    <pageSetUpPr fitToPage="true"/>
  </sheetPr>
  <dimension ref="A1:G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4"/>
    <col collapsed="false" customWidth="true" hidden="false" outlineLevel="0" max="6" min="6" style="0" width="16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2" t="s">
        <v>271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3" t="s">
        <v>272</v>
      </c>
      <c r="B2" s="1"/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33.75" hidden="false" customHeight="true" outlineLevel="0" collapsed="false">
      <c r="A4" s="15" t="s">
        <v>67</v>
      </c>
      <c r="B4" s="15" t="s">
        <v>273</v>
      </c>
      <c r="C4" s="15" t="s">
        <v>274</v>
      </c>
      <c r="D4" s="15" t="s">
        <v>275</v>
      </c>
      <c r="E4" s="45"/>
      <c r="F4" s="46" t="s">
        <v>65</v>
      </c>
      <c r="G4" s="46" t="s">
        <v>69</v>
      </c>
    </row>
    <row r="5" customFormat="false" ht="15" hidden="false" customHeight="false" outlineLevel="0" collapsed="false">
      <c r="A5" s="47" t="s">
        <v>78</v>
      </c>
      <c r="B5" s="47" t="s">
        <v>142</v>
      </c>
      <c r="C5" s="47" t="n">
        <v>33</v>
      </c>
      <c r="D5" s="47" t="s">
        <v>276</v>
      </c>
      <c r="E5" s="1"/>
      <c r="F5" s="26" t="str">
        <f aca="false">IFERROR(IF(A5="Таллинн",INDEX(Справочник!$A$5:$A$28,MATCH(B5,Справочник!$D$5:$D$28,0)),IF(A5="Тарту",INDEX(Справочник!$A$5:$A$28,MATCH(B5,Справочник!$E$5:$E$28,0)),INDEX(Справочник!$A$5:$A$28,MATCH(B5,Справочник!$C$5:$C$28,0)))),"нет в справочнике")</f>
        <v>SD-001</v>
      </c>
      <c r="G5" s="26" t="n">
        <f aca="false">IF(F5="нет в справочнике",0,IF(D5="уп",C5*INDEX(Справочник!$F$5:$F$28,MATCH(F5,Справочник!$A$5:$A$28,0)),C5))</f>
        <v>33</v>
      </c>
    </row>
    <row r="6" customFormat="false" ht="15" hidden="false" customHeight="false" outlineLevel="0" collapsed="false">
      <c r="A6" s="48" t="s">
        <v>78</v>
      </c>
      <c r="B6" s="48" t="s">
        <v>146</v>
      </c>
      <c r="C6" s="48" t="n">
        <v>61</v>
      </c>
      <c r="D6" s="48" t="s">
        <v>276</v>
      </c>
      <c r="E6" s="1"/>
      <c r="F6" s="26" t="str">
        <f aca="false">IFERROR(IF(A6="Таллинн",INDEX(Справочник!$A$5:$A$28,MATCH(B6,Справочник!$D$5:$D$28,0)),IF(A6="Тарту",INDEX(Справочник!$A$5:$A$28,MATCH(B6,Справочник!$E$5:$E$28,0)),INDEX(Справочник!$A$5:$A$28,MATCH(B6,Справочник!$C$5:$C$28,0)))),"нет в справочнике")</f>
        <v>SD-002</v>
      </c>
      <c r="G6" s="26" t="n">
        <f aca="false">IF(F6="нет в справочнике",0,IF(D6="уп",C6*INDEX(Справочник!$F$5:$F$28,MATCH(F6,Справочник!$A$5:$A$28,0)),C6))</f>
        <v>61</v>
      </c>
    </row>
    <row r="7" customFormat="false" ht="15" hidden="false" customHeight="false" outlineLevel="0" collapsed="false">
      <c r="A7" s="47" t="s">
        <v>78</v>
      </c>
      <c r="B7" s="47" t="s">
        <v>150</v>
      </c>
      <c r="C7" s="47" t="n">
        <v>46</v>
      </c>
      <c r="D7" s="47" t="s">
        <v>276</v>
      </c>
      <c r="E7" s="1"/>
      <c r="F7" s="26" t="str">
        <f aca="false">IFERROR(IF(A7="Таллинн",INDEX(Справочник!$A$5:$A$28,MATCH(B7,Справочник!$D$5:$D$28,0)),IF(A7="Тарту",INDEX(Справочник!$A$5:$A$28,MATCH(B7,Справочник!$E$5:$E$28,0)),INDEX(Справочник!$A$5:$A$28,MATCH(B7,Справочник!$C$5:$C$28,0)))),"нет в справочнике")</f>
        <v>SD-003</v>
      </c>
      <c r="G7" s="26" t="n">
        <f aca="false">IF(F7="нет в справочнике",0,IF(D7="уп",C7*INDEX(Справочник!$F$5:$F$28,MATCH(F7,Справочник!$A$5:$A$28,0)),C7))</f>
        <v>46</v>
      </c>
    </row>
    <row r="8" customFormat="false" ht="15" hidden="false" customHeight="false" outlineLevel="0" collapsed="false">
      <c r="A8" s="48" t="s">
        <v>78</v>
      </c>
      <c r="B8" s="48" t="s">
        <v>155</v>
      </c>
      <c r="C8" s="48" t="n">
        <v>43</v>
      </c>
      <c r="D8" s="48" t="s">
        <v>276</v>
      </c>
      <c r="E8" s="1"/>
      <c r="F8" s="26" t="str">
        <f aca="false">IFERROR(IF(A8="Таллинн",INDEX(Справочник!$A$5:$A$28,MATCH(B8,Справочник!$D$5:$D$28,0)),IF(A8="Тарту",INDEX(Справочник!$A$5:$A$28,MATCH(B8,Справочник!$E$5:$E$28,0)),INDEX(Справочник!$A$5:$A$28,MATCH(B8,Справочник!$C$5:$C$28,0)))),"нет в справочнике")</f>
        <v>SD-004</v>
      </c>
      <c r="G8" s="26" t="n">
        <f aca="false">IF(F8="нет в справочнике",0,IF(D8="уп",C8*INDEX(Справочник!$F$5:$F$28,MATCH(F8,Справочник!$A$5:$A$28,0)),C8))</f>
        <v>43</v>
      </c>
    </row>
    <row r="9" customFormat="false" ht="15" hidden="false" customHeight="false" outlineLevel="0" collapsed="false">
      <c r="A9" s="47" t="s">
        <v>78</v>
      </c>
      <c r="B9" s="47" t="s">
        <v>159</v>
      </c>
      <c r="C9" s="47" t="n">
        <v>90</v>
      </c>
      <c r="D9" s="47" t="s">
        <v>276</v>
      </c>
      <c r="E9" s="1"/>
      <c r="F9" s="26" t="str">
        <f aca="false">IFERROR(IF(A9="Таллинн",INDEX(Справочник!$A$5:$A$28,MATCH(B9,Справочник!$D$5:$D$28,0)),IF(A9="Тарту",INDEX(Справочник!$A$5:$A$28,MATCH(B9,Справочник!$E$5:$E$28,0)),INDEX(Справочник!$A$5:$A$28,MATCH(B9,Справочник!$C$5:$C$28,0)))),"нет в справочнике")</f>
        <v>SD-005</v>
      </c>
      <c r="G9" s="26" t="n">
        <f aca="false">IF(F9="нет в справочнике",0,IF(D9="уп",C9*INDEX(Справочник!$F$5:$F$28,MATCH(F9,Справочник!$A$5:$A$28,0)),C9))</f>
        <v>90</v>
      </c>
    </row>
    <row r="10" customFormat="false" ht="15" hidden="false" customHeight="false" outlineLevel="0" collapsed="false">
      <c r="A10" s="48" t="s">
        <v>78</v>
      </c>
      <c r="B10" s="48" t="s">
        <v>164</v>
      </c>
      <c r="C10" s="48" t="n">
        <v>81</v>
      </c>
      <c r="D10" s="48" t="s">
        <v>276</v>
      </c>
      <c r="E10" s="1"/>
      <c r="F10" s="26" t="str">
        <f aca="false">IFERROR(IF(A10="Таллинн",INDEX(Справочник!$A$5:$A$28,MATCH(B10,Справочник!$D$5:$D$28,0)),IF(A10="Тарту",INDEX(Справочник!$A$5:$A$28,MATCH(B10,Справочник!$E$5:$E$28,0)),INDEX(Справочник!$A$5:$A$28,MATCH(B10,Справочник!$C$5:$C$28,0)))),"нет в справочнике")</f>
        <v>SD-006</v>
      </c>
      <c r="G10" s="26" t="n">
        <f aca="false">IF(F10="нет в справочнике",0,IF(D10="уп",C10*INDEX(Справочник!$F$5:$F$28,MATCH(F10,Справочник!$A$5:$A$28,0)),C10))</f>
        <v>81</v>
      </c>
    </row>
    <row r="11" customFormat="false" ht="15" hidden="false" customHeight="false" outlineLevel="0" collapsed="false">
      <c r="A11" s="47" t="s">
        <v>78</v>
      </c>
      <c r="B11" s="47" t="s">
        <v>168</v>
      </c>
      <c r="C11" s="47" t="n">
        <v>201</v>
      </c>
      <c r="D11" s="47" t="s">
        <v>276</v>
      </c>
      <c r="E11" s="1"/>
      <c r="F11" s="26" t="str">
        <f aca="false">IFERROR(IF(A11="Таллинн",INDEX(Справочник!$A$5:$A$28,MATCH(B11,Справочник!$D$5:$D$28,0)),IF(A11="Тарту",INDEX(Справочник!$A$5:$A$28,MATCH(B11,Справочник!$E$5:$E$28,0)),INDEX(Справочник!$A$5:$A$28,MATCH(B11,Справочник!$C$5:$C$28,0)))),"нет в справочнике")</f>
        <v>SD-007</v>
      </c>
      <c r="G11" s="26" t="n">
        <f aca="false">IF(F11="нет в справочнике",0,IF(D11="уп",C11*INDEX(Справочник!$F$5:$F$28,MATCH(F11,Справочник!$A$5:$A$28,0)),C11))</f>
        <v>201</v>
      </c>
    </row>
    <row r="12" customFormat="false" ht="15" hidden="false" customHeight="false" outlineLevel="0" collapsed="false">
      <c r="A12" s="48" t="s">
        <v>78</v>
      </c>
      <c r="B12" s="48" t="s">
        <v>172</v>
      </c>
      <c r="C12" s="48" t="n">
        <v>125</v>
      </c>
      <c r="D12" s="48" t="s">
        <v>276</v>
      </c>
      <c r="E12" s="1"/>
      <c r="F12" s="26" t="str">
        <f aca="false">IFERROR(IF(A12="Таллинн",INDEX(Справочник!$A$5:$A$28,MATCH(B12,Справочник!$D$5:$D$28,0)),IF(A12="Тарту",INDEX(Справочник!$A$5:$A$28,MATCH(B12,Справочник!$E$5:$E$28,0)),INDEX(Справочник!$A$5:$A$28,MATCH(B12,Справочник!$C$5:$C$28,0)))),"нет в справочнике")</f>
        <v>SD-008</v>
      </c>
      <c r="G12" s="26" t="n">
        <f aca="false">IF(F12="нет в справочнике",0,IF(D12="уп",C12*INDEX(Справочник!$F$5:$F$28,MATCH(F12,Справочник!$A$5:$A$28,0)),C12))</f>
        <v>125</v>
      </c>
    </row>
    <row r="13" customFormat="false" ht="15" hidden="false" customHeight="false" outlineLevel="0" collapsed="false">
      <c r="A13" s="47" t="s">
        <v>78</v>
      </c>
      <c r="B13" s="47" t="s">
        <v>176</v>
      </c>
      <c r="C13" s="47" t="n">
        <v>63</v>
      </c>
      <c r="D13" s="47" t="s">
        <v>276</v>
      </c>
      <c r="E13" s="1"/>
      <c r="F13" s="26" t="str">
        <f aca="false">IFERROR(IF(A13="Таллинн",INDEX(Справочник!$A$5:$A$28,MATCH(B13,Справочник!$D$5:$D$28,0)),IF(A13="Тарту",INDEX(Справочник!$A$5:$A$28,MATCH(B13,Справочник!$E$5:$E$28,0)),INDEX(Справочник!$A$5:$A$28,MATCH(B13,Справочник!$C$5:$C$28,0)))),"нет в справочнике")</f>
        <v>SD-009</v>
      </c>
      <c r="G13" s="26" t="n">
        <f aca="false">IF(F13="нет в справочнике",0,IF(D13="уп",C13*INDEX(Справочник!$F$5:$F$28,MATCH(F13,Справочник!$A$5:$A$28,0)),C13))</f>
        <v>63</v>
      </c>
    </row>
    <row r="14" customFormat="false" ht="15" hidden="false" customHeight="false" outlineLevel="0" collapsed="false">
      <c r="A14" s="48" t="s">
        <v>78</v>
      </c>
      <c r="B14" s="48" t="s">
        <v>181</v>
      </c>
      <c r="C14" s="48" t="n">
        <v>74</v>
      </c>
      <c r="D14" s="48" t="s">
        <v>276</v>
      </c>
      <c r="E14" s="1"/>
      <c r="F14" s="26" t="str">
        <f aca="false">IFERROR(IF(A14="Таллинн",INDEX(Справочник!$A$5:$A$28,MATCH(B14,Справочник!$D$5:$D$28,0)),IF(A14="Тарту",INDEX(Справочник!$A$5:$A$28,MATCH(B14,Справочник!$E$5:$E$28,0)),INDEX(Справочник!$A$5:$A$28,MATCH(B14,Справочник!$C$5:$C$28,0)))),"нет в справочнике")</f>
        <v>SD-010</v>
      </c>
      <c r="G14" s="26" t="n">
        <f aca="false">IF(F14="нет в справочнике",0,IF(D14="уп",C14*INDEX(Справочник!$F$5:$F$28,MATCH(F14,Справочник!$A$5:$A$28,0)),C14))</f>
        <v>74</v>
      </c>
    </row>
    <row r="15" customFormat="false" ht="15" hidden="false" customHeight="false" outlineLevel="0" collapsed="false">
      <c r="A15" s="47" t="s">
        <v>78</v>
      </c>
      <c r="B15" s="47" t="s">
        <v>185</v>
      </c>
      <c r="C15" s="47" t="n">
        <v>48</v>
      </c>
      <c r="D15" s="47" t="s">
        <v>276</v>
      </c>
      <c r="E15" s="1"/>
      <c r="F15" s="26" t="str">
        <f aca="false">IFERROR(IF(A15="Таллинн",INDEX(Справочник!$A$5:$A$28,MATCH(B15,Справочник!$D$5:$D$28,0)),IF(A15="Тарту",INDEX(Справочник!$A$5:$A$28,MATCH(B15,Справочник!$E$5:$E$28,0)),INDEX(Справочник!$A$5:$A$28,MATCH(B15,Справочник!$C$5:$C$28,0)))),"нет в справочнике")</f>
        <v>SD-011</v>
      </c>
      <c r="G15" s="26" t="n">
        <f aca="false">IF(F15="нет в справочнике",0,IF(D15="уп",C15*INDEX(Справочник!$F$5:$F$28,MATCH(F15,Справочник!$A$5:$A$28,0)),C15))</f>
        <v>48</v>
      </c>
    </row>
    <row r="16" customFormat="false" ht="15" hidden="false" customHeight="false" outlineLevel="0" collapsed="false">
      <c r="A16" s="48" t="s">
        <v>78</v>
      </c>
      <c r="B16" s="48" t="s">
        <v>189</v>
      </c>
      <c r="C16" s="48" t="n">
        <v>71</v>
      </c>
      <c r="D16" s="48" t="s">
        <v>276</v>
      </c>
      <c r="E16" s="1"/>
      <c r="F16" s="26" t="str">
        <f aca="false">IFERROR(IF(A16="Таллинн",INDEX(Справочник!$A$5:$A$28,MATCH(B16,Справочник!$D$5:$D$28,0)),IF(A16="Тарту",INDEX(Справочник!$A$5:$A$28,MATCH(B16,Справочник!$E$5:$E$28,0)),INDEX(Справочник!$A$5:$A$28,MATCH(B16,Справочник!$C$5:$C$28,0)))),"нет в справочнике")</f>
        <v>SD-012</v>
      </c>
      <c r="G16" s="26" t="n">
        <f aca="false">IF(F16="нет в справочнике",0,IF(D16="уп",C16*INDEX(Справочник!$F$5:$F$28,MATCH(F16,Справочник!$A$5:$A$28,0)),C16))</f>
        <v>71</v>
      </c>
    </row>
    <row r="17" customFormat="false" ht="15" hidden="false" customHeight="false" outlineLevel="0" collapsed="false">
      <c r="A17" s="47" t="s">
        <v>78</v>
      </c>
      <c r="B17" s="47" t="s">
        <v>193</v>
      </c>
      <c r="C17" s="47" t="n">
        <v>38</v>
      </c>
      <c r="D17" s="47" t="s">
        <v>276</v>
      </c>
      <c r="E17" s="1"/>
      <c r="F17" s="26" t="str">
        <f aca="false">IFERROR(IF(A17="Таллинн",INDEX(Справочник!$A$5:$A$28,MATCH(B17,Справочник!$D$5:$D$28,0)),IF(A17="Тарту",INDEX(Справочник!$A$5:$A$28,MATCH(B17,Справочник!$E$5:$E$28,0)),INDEX(Справочник!$A$5:$A$28,MATCH(B17,Справочник!$C$5:$C$28,0)))),"нет в справочнике")</f>
        <v>SD-013</v>
      </c>
      <c r="G17" s="26" t="n">
        <f aca="false">IF(F17="нет в справочнике",0,IF(D17="уп",C17*INDEX(Справочник!$F$5:$F$28,MATCH(F17,Справочник!$A$5:$A$28,0)),C17))</f>
        <v>38</v>
      </c>
    </row>
    <row r="18" customFormat="false" ht="15" hidden="false" customHeight="false" outlineLevel="0" collapsed="false">
      <c r="A18" s="48" t="s">
        <v>78</v>
      </c>
      <c r="B18" s="48" t="s">
        <v>197</v>
      </c>
      <c r="C18" s="48" t="n">
        <v>110</v>
      </c>
      <c r="D18" s="48" t="s">
        <v>276</v>
      </c>
      <c r="E18" s="1"/>
      <c r="F18" s="26" t="str">
        <f aca="false">IFERROR(IF(A18="Таллинн",INDEX(Справочник!$A$5:$A$28,MATCH(B18,Справочник!$D$5:$D$28,0)),IF(A18="Тарту",INDEX(Справочник!$A$5:$A$28,MATCH(B18,Справочник!$E$5:$E$28,0)),INDEX(Справочник!$A$5:$A$28,MATCH(B18,Справочник!$C$5:$C$28,0)))),"нет в справочнике")</f>
        <v>SD-014</v>
      </c>
      <c r="G18" s="26" t="n">
        <f aca="false">IF(F18="нет в справочнике",0,IF(D18="уп",C18*INDEX(Справочник!$F$5:$F$28,MATCH(F18,Справочник!$A$5:$A$28,0)),C18))</f>
        <v>110</v>
      </c>
    </row>
    <row r="19" customFormat="false" ht="15" hidden="false" customHeight="false" outlineLevel="0" collapsed="false">
      <c r="A19" s="47" t="s">
        <v>78</v>
      </c>
      <c r="B19" s="47" t="s">
        <v>201</v>
      </c>
      <c r="C19" s="47" t="n">
        <v>64</v>
      </c>
      <c r="D19" s="47" t="s">
        <v>276</v>
      </c>
      <c r="E19" s="1"/>
      <c r="F19" s="26" t="str">
        <f aca="false">IFERROR(IF(A19="Таллинн",INDEX(Справочник!$A$5:$A$28,MATCH(B19,Справочник!$D$5:$D$28,0)),IF(A19="Тарту",INDEX(Справочник!$A$5:$A$28,MATCH(B19,Справочник!$E$5:$E$28,0)),INDEX(Справочник!$A$5:$A$28,MATCH(B19,Справочник!$C$5:$C$28,0)))),"нет в справочнике")</f>
        <v>SD-015</v>
      </c>
      <c r="G19" s="26" t="n">
        <f aca="false">IF(F19="нет в справочнике",0,IF(D19="уп",C19*INDEX(Справочник!$F$5:$F$28,MATCH(F19,Справочник!$A$5:$A$28,0)),C19))</f>
        <v>64</v>
      </c>
    </row>
    <row r="20" customFormat="false" ht="15" hidden="false" customHeight="false" outlineLevel="0" collapsed="false">
      <c r="A20" s="48" t="s">
        <v>78</v>
      </c>
      <c r="B20" s="48" t="s">
        <v>205</v>
      </c>
      <c r="C20" s="48" t="n">
        <v>21</v>
      </c>
      <c r="D20" s="48" t="s">
        <v>276</v>
      </c>
      <c r="E20" s="1"/>
      <c r="F20" s="26" t="str">
        <f aca="false">IFERROR(IF(A20="Таллинн",INDEX(Справочник!$A$5:$A$28,MATCH(B20,Справочник!$D$5:$D$28,0)),IF(A20="Тарту",INDEX(Справочник!$A$5:$A$28,MATCH(B20,Справочник!$E$5:$E$28,0)),INDEX(Справочник!$A$5:$A$28,MATCH(B20,Справочник!$C$5:$C$28,0)))),"нет в справочнике")</f>
        <v>SD-016</v>
      </c>
      <c r="G20" s="26" t="n">
        <f aca="false">IF(F20="нет в справочнике",0,IF(D20="уп",C20*INDEX(Справочник!$F$5:$F$28,MATCH(F20,Справочник!$A$5:$A$28,0)),C20))</f>
        <v>21</v>
      </c>
    </row>
    <row r="21" customFormat="false" ht="15" hidden="false" customHeight="false" outlineLevel="0" collapsed="false">
      <c r="A21" s="47" t="s">
        <v>78</v>
      </c>
      <c r="B21" s="47" t="s">
        <v>209</v>
      </c>
      <c r="C21" s="47" t="n">
        <v>52</v>
      </c>
      <c r="D21" s="47" t="s">
        <v>276</v>
      </c>
      <c r="E21" s="1"/>
      <c r="F21" s="26" t="str">
        <f aca="false">IFERROR(IF(A21="Таллинн",INDEX(Справочник!$A$5:$A$28,MATCH(B21,Справочник!$D$5:$D$28,0)),IF(A21="Тарту",INDEX(Справочник!$A$5:$A$28,MATCH(B21,Справочник!$E$5:$E$28,0)),INDEX(Справочник!$A$5:$A$28,MATCH(B21,Справочник!$C$5:$C$28,0)))),"нет в справочнике")</f>
        <v>SD-017</v>
      </c>
      <c r="G21" s="26" t="n">
        <f aca="false">IF(F21="нет в справочнике",0,IF(D21="уп",C21*INDEX(Справочник!$F$5:$F$28,MATCH(F21,Справочник!$A$5:$A$28,0)),C21))</f>
        <v>52</v>
      </c>
    </row>
    <row r="22" customFormat="false" ht="15" hidden="false" customHeight="false" outlineLevel="0" collapsed="false">
      <c r="A22" s="48" t="s">
        <v>78</v>
      </c>
      <c r="B22" s="48" t="s">
        <v>213</v>
      </c>
      <c r="C22" s="48" t="n">
        <v>18</v>
      </c>
      <c r="D22" s="48" t="s">
        <v>276</v>
      </c>
      <c r="E22" s="1"/>
      <c r="F22" s="26" t="str">
        <f aca="false">IFERROR(IF(A22="Таллинн",INDEX(Справочник!$A$5:$A$28,MATCH(B22,Справочник!$D$5:$D$28,0)),IF(A22="Тарту",INDEX(Справочник!$A$5:$A$28,MATCH(B22,Справочник!$E$5:$E$28,0)),INDEX(Справочник!$A$5:$A$28,MATCH(B22,Справочник!$C$5:$C$28,0)))),"нет в справочнике")</f>
        <v>SD-018</v>
      </c>
      <c r="G22" s="26" t="n">
        <f aca="false">IF(F22="нет в справочнике",0,IF(D22="уп",C22*INDEX(Справочник!$F$5:$F$28,MATCH(F22,Справочник!$A$5:$A$28,0)),C22))</f>
        <v>18</v>
      </c>
    </row>
    <row r="23" customFormat="false" ht="15" hidden="false" customHeight="false" outlineLevel="0" collapsed="false">
      <c r="A23" s="47" t="s">
        <v>78</v>
      </c>
      <c r="B23" s="47" t="s">
        <v>217</v>
      </c>
      <c r="C23" s="47" t="n">
        <v>91</v>
      </c>
      <c r="D23" s="47" t="s">
        <v>276</v>
      </c>
      <c r="E23" s="1"/>
      <c r="F23" s="26" t="str">
        <f aca="false">IFERROR(IF(A23="Таллинн",INDEX(Справочник!$A$5:$A$28,MATCH(B23,Справочник!$D$5:$D$28,0)),IF(A23="Тарту",INDEX(Справочник!$A$5:$A$28,MATCH(B23,Справочник!$E$5:$E$28,0)),INDEX(Справочник!$A$5:$A$28,MATCH(B23,Справочник!$C$5:$C$28,0)))),"нет в справочнике")</f>
        <v>SD-019</v>
      </c>
      <c r="G23" s="26" t="n">
        <f aca="false">IF(F23="нет в справочнике",0,IF(D23="уп",C23*INDEX(Справочник!$F$5:$F$28,MATCH(F23,Справочник!$A$5:$A$28,0)),C23))</f>
        <v>91</v>
      </c>
    </row>
    <row r="24" customFormat="false" ht="15" hidden="false" customHeight="false" outlineLevel="0" collapsed="false">
      <c r="A24" s="48" t="s">
        <v>78</v>
      </c>
      <c r="B24" s="48" t="s">
        <v>221</v>
      </c>
      <c r="C24" s="48" t="n">
        <v>126</v>
      </c>
      <c r="D24" s="48" t="s">
        <v>276</v>
      </c>
      <c r="E24" s="1"/>
      <c r="F24" s="26" t="str">
        <f aca="false">IFERROR(IF(A24="Таллинн",INDEX(Справочник!$A$5:$A$28,MATCH(B24,Справочник!$D$5:$D$28,0)),IF(A24="Тарту",INDEX(Справочник!$A$5:$A$28,MATCH(B24,Справочник!$E$5:$E$28,0)),INDEX(Справочник!$A$5:$A$28,MATCH(B24,Справочник!$C$5:$C$28,0)))),"нет в справочнике")</f>
        <v>SD-020</v>
      </c>
      <c r="G24" s="26" t="n">
        <f aca="false">IF(F24="нет в справочнике",0,IF(D24="уп",C24*INDEX(Справочник!$F$5:$F$28,MATCH(F24,Справочник!$A$5:$A$28,0)),C24))</f>
        <v>126</v>
      </c>
    </row>
    <row r="25" customFormat="false" ht="15" hidden="false" customHeight="false" outlineLevel="0" collapsed="false">
      <c r="A25" s="47" t="s">
        <v>78</v>
      </c>
      <c r="B25" s="47" t="s">
        <v>225</v>
      </c>
      <c r="C25" s="47" t="n">
        <v>53</v>
      </c>
      <c r="D25" s="47" t="s">
        <v>276</v>
      </c>
      <c r="E25" s="1"/>
      <c r="F25" s="26" t="str">
        <f aca="false">IFERROR(IF(A25="Таллинн",INDEX(Справочник!$A$5:$A$28,MATCH(B25,Справочник!$D$5:$D$28,0)),IF(A25="Тарту",INDEX(Справочник!$A$5:$A$28,MATCH(B25,Справочник!$E$5:$E$28,0)),INDEX(Справочник!$A$5:$A$28,MATCH(B25,Справочник!$C$5:$C$28,0)))),"нет в справочнике")</f>
        <v>SD-021</v>
      </c>
      <c r="G25" s="26" t="n">
        <f aca="false">IF(F25="нет в справочнике",0,IF(D25="уп",C25*INDEX(Справочник!$F$5:$F$28,MATCH(F25,Справочник!$A$5:$A$28,0)),C25))</f>
        <v>53</v>
      </c>
    </row>
    <row r="26" customFormat="false" ht="15" hidden="false" customHeight="false" outlineLevel="0" collapsed="false">
      <c r="A26" s="48" t="s">
        <v>78</v>
      </c>
      <c r="B26" s="48" t="s">
        <v>229</v>
      </c>
      <c r="C26" s="48" t="n">
        <v>125</v>
      </c>
      <c r="D26" s="48" t="s">
        <v>276</v>
      </c>
      <c r="E26" s="1"/>
      <c r="F26" s="26" t="str">
        <f aca="false">IFERROR(IF(A26="Таллинн",INDEX(Справочник!$A$5:$A$28,MATCH(B26,Справочник!$D$5:$D$28,0)),IF(A26="Тарту",INDEX(Справочник!$A$5:$A$28,MATCH(B26,Справочник!$E$5:$E$28,0)),INDEX(Справочник!$A$5:$A$28,MATCH(B26,Справочник!$C$5:$C$28,0)))),"нет в справочнике")</f>
        <v>SD-022</v>
      </c>
      <c r="G26" s="26" t="n">
        <f aca="false">IF(F26="нет в справочнике",0,IF(D26="уп",C26*INDEX(Справочник!$F$5:$F$28,MATCH(F26,Справочник!$A$5:$A$28,0)),C26))</f>
        <v>125</v>
      </c>
    </row>
    <row r="27" customFormat="false" ht="15" hidden="false" customHeight="false" outlineLevel="0" collapsed="false">
      <c r="A27" s="47" t="s">
        <v>78</v>
      </c>
      <c r="B27" s="47" t="s">
        <v>234</v>
      </c>
      <c r="C27" s="47" t="n">
        <v>73</v>
      </c>
      <c r="D27" s="47" t="s">
        <v>276</v>
      </c>
      <c r="E27" s="1"/>
      <c r="F27" s="26" t="str">
        <f aca="false">IFERROR(IF(A27="Таллинн",INDEX(Справочник!$A$5:$A$28,MATCH(B27,Справочник!$D$5:$D$28,0)),IF(A27="Тарту",INDEX(Справочник!$A$5:$A$28,MATCH(B27,Справочник!$E$5:$E$28,0)),INDEX(Справочник!$A$5:$A$28,MATCH(B27,Справочник!$C$5:$C$28,0)))),"нет в справочнике")</f>
        <v>SD-023</v>
      </c>
      <c r="G27" s="26" t="n">
        <f aca="false">IF(F27="нет в справочнике",0,IF(D27="уп",C27*INDEX(Справочник!$F$5:$F$28,MATCH(F27,Справочник!$A$5:$A$28,0)),C27))</f>
        <v>73</v>
      </c>
    </row>
    <row r="28" customFormat="false" ht="15" hidden="false" customHeight="false" outlineLevel="0" collapsed="false">
      <c r="A28" s="48" t="s">
        <v>78</v>
      </c>
      <c r="B28" s="48" t="s">
        <v>238</v>
      </c>
      <c r="C28" s="48" t="n">
        <v>139</v>
      </c>
      <c r="D28" s="48" t="s">
        <v>276</v>
      </c>
      <c r="E28" s="1"/>
      <c r="F28" s="26" t="str">
        <f aca="false">IFERROR(IF(A28="Таллинн",INDEX(Справочник!$A$5:$A$28,MATCH(B28,Справочник!$D$5:$D$28,0)),IF(A28="Тарту",INDEX(Справочник!$A$5:$A$28,MATCH(B28,Справочник!$E$5:$E$28,0)),INDEX(Справочник!$A$5:$A$28,MATCH(B28,Справочник!$C$5:$C$28,0)))),"нет в справочнике")</f>
        <v>SD-024</v>
      </c>
      <c r="G28" s="26" t="n">
        <f aca="false">IF(F28="нет в справочнике",0,IF(D28="уп",C28*INDEX(Справочник!$F$5:$F$28,MATCH(F28,Справочник!$A$5:$A$28,0)),C28))</f>
        <v>139</v>
      </c>
    </row>
    <row r="29" customFormat="false" ht="15" hidden="false" customHeight="false" outlineLevel="0" collapsed="false">
      <c r="A29" s="47" t="s">
        <v>111</v>
      </c>
      <c r="B29" s="47" t="s">
        <v>143</v>
      </c>
      <c r="C29" s="47" t="n">
        <v>17</v>
      </c>
      <c r="D29" s="47" t="s">
        <v>276</v>
      </c>
      <c r="E29" s="1"/>
      <c r="F29" s="26" t="str">
        <f aca="false">IFERROR(IF(A29="Таллинн",INDEX(Справочник!$A$5:$A$28,MATCH(B29,Справочник!$D$5:$D$28,0)),IF(A29="Тарту",INDEX(Справочник!$A$5:$A$28,MATCH(B29,Справочник!$E$5:$E$28,0)),INDEX(Справочник!$A$5:$A$28,MATCH(B29,Справочник!$C$5:$C$28,0)))),"нет в справочнике")</f>
        <v>SD-001</v>
      </c>
      <c r="G29" s="26" t="n">
        <f aca="false">IF(F29="нет в справочнике",0,IF(D29="уп",C29*INDEX(Справочник!$F$5:$F$28,MATCH(F29,Справочник!$A$5:$A$28,0)),C29))</f>
        <v>17</v>
      </c>
    </row>
    <row r="30" customFormat="false" ht="15" hidden="false" customHeight="false" outlineLevel="0" collapsed="false">
      <c r="A30" s="48" t="s">
        <v>111</v>
      </c>
      <c r="B30" s="48" t="s">
        <v>147</v>
      </c>
      <c r="C30" s="48" t="n">
        <v>32</v>
      </c>
      <c r="D30" s="48" t="s">
        <v>276</v>
      </c>
      <c r="E30" s="1"/>
      <c r="F30" s="26" t="str">
        <f aca="false">IFERROR(IF(A30="Таллинн",INDEX(Справочник!$A$5:$A$28,MATCH(B30,Справочник!$D$5:$D$28,0)),IF(A30="Тарту",INDEX(Справочник!$A$5:$A$28,MATCH(B30,Справочник!$E$5:$E$28,0)),INDEX(Справочник!$A$5:$A$28,MATCH(B30,Справочник!$C$5:$C$28,0)))),"нет в справочнике")</f>
        <v>SD-002</v>
      </c>
      <c r="G30" s="26" t="n">
        <f aca="false">IF(F30="нет в справочнике",0,IF(D30="уп",C30*INDEX(Справочник!$F$5:$F$28,MATCH(F30,Справочник!$A$5:$A$28,0)),C30))</f>
        <v>32</v>
      </c>
    </row>
    <row r="31" customFormat="false" ht="15" hidden="false" customHeight="false" outlineLevel="0" collapsed="false">
      <c r="A31" s="47" t="s">
        <v>111</v>
      </c>
      <c r="B31" s="47" t="s">
        <v>151</v>
      </c>
      <c r="C31" s="47" t="n">
        <v>14</v>
      </c>
      <c r="D31" s="47" t="s">
        <v>276</v>
      </c>
      <c r="E31" s="1"/>
      <c r="F31" s="26" t="str">
        <f aca="false">IFERROR(IF(A31="Таллинн",INDEX(Справочник!$A$5:$A$28,MATCH(B31,Справочник!$D$5:$D$28,0)),IF(A31="Тарту",INDEX(Справочник!$A$5:$A$28,MATCH(B31,Справочник!$E$5:$E$28,0)),INDEX(Справочник!$A$5:$A$28,MATCH(B31,Справочник!$C$5:$C$28,0)))),"нет в справочнике")</f>
        <v>SD-003</v>
      </c>
      <c r="G31" s="26" t="n">
        <f aca="false">IF(F31="нет в справочнике",0,IF(D31="уп",C31*INDEX(Справочник!$F$5:$F$28,MATCH(F31,Справочник!$A$5:$A$28,0)),C31))</f>
        <v>14</v>
      </c>
    </row>
    <row r="32" customFormat="false" ht="15" hidden="false" customHeight="false" outlineLevel="0" collapsed="false">
      <c r="A32" s="48" t="s">
        <v>111</v>
      </c>
      <c r="B32" s="48" t="s">
        <v>156</v>
      </c>
      <c r="C32" s="48" t="n">
        <v>25</v>
      </c>
      <c r="D32" s="48" t="s">
        <v>276</v>
      </c>
      <c r="E32" s="1"/>
      <c r="F32" s="26" t="str">
        <f aca="false">IFERROR(IF(A32="Таллинн",INDEX(Справочник!$A$5:$A$28,MATCH(B32,Справочник!$D$5:$D$28,0)),IF(A32="Тарту",INDEX(Справочник!$A$5:$A$28,MATCH(B32,Справочник!$E$5:$E$28,0)),INDEX(Справочник!$A$5:$A$28,MATCH(B32,Справочник!$C$5:$C$28,0)))),"нет в справочнике")</f>
        <v>SD-004</v>
      </c>
      <c r="G32" s="26" t="n">
        <f aca="false">IF(F32="нет в справочнике",0,IF(D32="уп",C32*INDEX(Справочник!$F$5:$F$28,MATCH(F32,Справочник!$A$5:$A$28,0)),C32))</f>
        <v>25</v>
      </c>
    </row>
    <row r="33" customFormat="false" ht="15" hidden="false" customHeight="false" outlineLevel="0" collapsed="false">
      <c r="A33" s="47" t="s">
        <v>111</v>
      </c>
      <c r="B33" s="47" t="s">
        <v>160</v>
      </c>
      <c r="C33" s="47" t="n">
        <v>41</v>
      </c>
      <c r="D33" s="47" t="s">
        <v>276</v>
      </c>
      <c r="E33" s="1"/>
      <c r="F33" s="26" t="str">
        <f aca="false">IFERROR(IF(A33="Таллинн",INDEX(Справочник!$A$5:$A$28,MATCH(B33,Справочник!$D$5:$D$28,0)),IF(A33="Тарту",INDEX(Справочник!$A$5:$A$28,MATCH(B33,Справочник!$E$5:$E$28,0)),INDEX(Справочник!$A$5:$A$28,MATCH(B33,Справочник!$C$5:$C$28,0)))),"нет в справочнике")</f>
        <v>SD-005</v>
      </c>
      <c r="G33" s="26" t="n">
        <f aca="false">IF(F33="нет в справочнике",0,IF(D33="уп",C33*INDEX(Справочник!$F$5:$F$28,MATCH(F33,Справочник!$A$5:$A$28,0)),C33))</f>
        <v>41</v>
      </c>
    </row>
    <row r="34" customFormat="false" ht="15" hidden="false" customHeight="false" outlineLevel="0" collapsed="false">
      <c r="A34" s="48" t="s">
        <v>111</v>
      </c>
      <c r="B34" s="48" t="s">
        <v>165</v>
      </c>
      <c r="C34" s="48" t="n">
        <v>42</v>
      </c>
      <c r="D34" s="48" t="s">
        <v>276</v>
      </c>
      <c r="E34" s="1"/>
      <c r="F34" s="26" t="str">
        <f aca="false">IFERROR(IF(A34="Таллинн",INDEX(Справочник!$A$5:$A$28,MATCH(B34,Справочник!$D$5:$D$28,0)),IF(A34="Тарту",INDEX(Справочник!$A$5:$A$28,MATCH(B34,Справочник!$E$5:$E$28,0)),INDEX(Справочник!$A$5:$A$28,MATCH(B34,Справочник!$C$5:$C$28,0)))),"нет в справочнике")</f>
        <v>SD-006</v>
      </c>
      <c r="G34" s="26" t="n">
        <f aca="false">IF(F34="нет в справочнике",0,IF(D34="уп",C34*INDEX(Справочник!$F$5:$F$28,MATCH(F34,Справочник!$A$5:$A$28,0)),C34))</f>
        <v>42</v>
      </c>
    </row>
    <row r="35" customFormat="false" ht="15" hidden="false" customHeight="false" outlineLevel="0" collapsed="false">
      <c r="A35" s="47" t="s">
        <v>111</v>
      </c>
      <c r="B35" s="47" t="s">
        <v>169</v>
      </c>
      <c r="C35" s="47" t="n">
        <v>105</v>
      </c>
      <c r="D35" s="47" t="s">
        <v>276</v>
      </c>
      <c r="E35" s="1"/>
      <c r="F35" s="26" t="str">
        <f aca="false">IFERROR(IF(A35="Таллинн",INDEX(Справочник!$A$5:$A$28,MATCH(B35,Справочник!$D$5:$D$28,0)),IF(A35="Тарту",INDEX(Справочник!$A$5:$A$28,MATCH(B35,Справочник!$E$5:$E$28,0)),INDEX(Справочник!$A$5:$A$28,MATCH(B35,Справочник!$C$5:$C$28,0)))),"нет в справочнике")</f>
        <v>SD-007</v>
      </c>
      <c r="G35" s="26" t="n">
        <f aca="false">IF(F35="нет в справочнике",0,IF(D35="уп",C35*INDEX(Справочник!$F$5:$F$28,MATCH(F35,Справочник!$A$5:$A$28,0)),C35))</f>
        <v>105</v>
      </c>
    </row>
    <row r="36" customFormat="false" ht="15" hidden="false" customHeight="false" outlineLevel="0" collapsed="false">
      <c r="A36" s="48" t="s">
        <v>111</v>
      </c>
      <c r="B36" s="48" t="s">
        <v>173</v>
      </c>
      <c r="C36" s="48" t="n">
        <v>74</v>
      </c>
      <c r="D36" s="48" t="s">
        <v>276</v>
      </c>
      <c r="E36" s="1"/>
      <c r="F36" s="26" t="str">
        <f aca="false">IFERROR(IF(A36="Таллинн",INDEX(Справочник!$A$5:$A$28,MATCH(B36,Справочник!$D$5:$D$28,0)),IF(A36="Тарту",INDEX(Справочник!$A$5:$A$28,MATCH(B36,Справочник!$E$5:$E$28,0)),INDEX(Справочник!$A$5:$A$28,MATCH(B36,Справочник!$C$5:$C$28,0)))),"нет в справочнике")</f>
        <v>SD-008</v>
      </c>
      <c r="G36" s="26" t="n">
        <f aca="false">IF(F36="нет в справочнике",0,IF(D36="уп",C36*INDEX(Справочник!$F$5:$F$28,MATCH(F36,Справочник!$A$5:$A$28,0)),C36))</f>
        <v>74</v>
      </c>
    </row>
    <row r="37" customFormat="false" ht="15" hidden="false" customHeight="false" outlineLevel="0" collapsed="false">
      <c r="A37" s="47" t="s">
        <v>111</v>
      </c>
      <c r="B37" s="47" t="s">
        <v>177</v>
      </c>
      <c r="C37" s="47" t="n">
        <v>26</v>
      </c>
      <c r="D37" s="47" t="s">
        <v>276</v>
      </c>
      <c r="E37" s="1"/>
      <c r="F37" s="26" t="str">
        <f aca="false">IFERROR(IF(A37="Таллинн",INDEX(Справочник!$A$5:$A$28,MATCH(B37,Справочник!$D$5:$D$28,0)),IF(A37="Тарту",INDEX(Справочник!$A$5:$A$28,MATCH(B37,Справочник!$E$5:$E$28,0)),INDEX(Справочник!$A$5:$A$28,MATCH(B37,Справочник!$C$5:$C$28,0)))),"нет в справочнике")</f>
        <v>SD-009</v>
      </c>
      <c r="G37" s="26" t="n">
        <f aca="false">IF(F37="нет в справочнике",0,IF(D37="уп",C37*INDEX(Справочник!$F$5:$F$28,MATCH(F37,Справочник!$A$5:$A$28,0)),C37))</f>
        <v>26</v>
      </c>
    </row>
    <row r="38" customFormat="false" ht="15" hidden="false" customHeight="false" outlineLevel="0" collapsed="false">
      <c r="A38" s="48" t="s">
        <v>111</v>
      </c>
      <c r="B38" s="48" t="s">
        <v>182</v>
      </c>
      <c r="C38" s="48" t="n">
        <v>41</v>
      </c>
      <c r="D38" s="48" t="s">
        <v>276</v>
      </c>
      <c r="E38" s="1"/>
      <c r="F38" s="26" t="str">
        <f aca="false">IFERROR(IF(A38="Таллинн",INDEX(Справочник!$A$5:$A$28,MATCH(B38,Справочник!$D$5:$D$28,0)),IF(A38="Тарту",INDEX(Справочник!$A$5:$A$28,MATCH(B38,Справочник!$E$5:$E$28,0)),INDEX(Справочник!$A$5:$A$28,MATCH(B38,Справочник!$C$5:$C$28,0)))),"нет в справочнике")</f>
        <v>SD-010</v>
      </c>
      <c r="G38" s="26" t="n">
        <f aca="false">IF(F38="нет в справочнике",0,IF(D38="уп",C38*INDEX(Справочник!$F$5:$F$28,MATCH(F38,Справочник!$A$5:$A$28,0)),C38))</f>
        <v>41</v>
      </c>
    </row>
    <row r="39" customFormat="false" ht="15" hidden="false" customHeight="false" outlineLevel="0" collapsed="false">
      <c r="A39" s="47" t="s">
        <v>111</v>
      </c>
      <c r="B39" s="47" t="s">
        <v>186</v>
      </c>
      <c r="C39" s="47" t="n">
        <v>28</v>
      </c>
      <c r="D39" s="47" t="s">
        <v>276</v>
      </c>
      <c r="E39" s="1"/>
      <c r="F39" s="26" t="str">
        <f aca="false">IFERROR(IF(A39="Таллинн",INDEX(Справочник!$A$5:$A$28,MATCH(B39,Справочник!$D$5:$D$28,0)),IF(A39="Тарту",INDEX(Справочник!$A$5:$A$28,MATCH(B39,Справочник!$E$5:$E$28,0)),INDEX(Справочник!$A$5:$A$28,MATCH(B39,Справочник!$C$5:$C$28,0)))),"нет в справочнике")</f>
        <v>SD-011</v>
      </c>
      <c r="G39" s="26" t="n">
        <f aca="false">IF(F39="нет в справочнике",0,IF(D39="уп",C39*INDEX(Справочник!$F$5:$F$28,MATCH(F39,Справочник!$A$5:$A$28,0)),C39))</f>
        <v>28</v>
      </c>
    </row>
    <row r="40" customFormat="false" ht="15" hidden="false" customHeight="false" outlineLevel="0" collapsed="false">
      <c r="A40" s="48" t="s">
        <v>111</v>
      </c>
      <c r="B40" s="48" t="s">
        <v>190</v>
      </c>
      <c r="C40" s="48" t="n">
        <v>49</v>
      </c>
      <c r="D40" s="48" t="s">
        <v>276</v>
      </c>
      <c r="E40" s="1"/>
      <c r="F40" s="26" t="str">
        <f aca="false">IFERROR(IF(A40="Таллинн",INDEX(Справочник!$A$5:$A$28,MATCH(B40,Справочник!$D$5:$D$28,0)),IF(A40="Тарту",INDEX(Справочник!$A$5:$A$28,MATCH(B40,Справочник!$E$5:$E$28,0)),INDEX(Справочник!$A$5:$A$28,MATCH(B40,Справочник!$C$5:$C$28,0)))),"нет в справочнике")</f>
        <v>SD-012</v>
      </c>
      <c r="G40" s="26" t="n">
        <f aca="false">IF(F40="нет в справочнике",0,IF(D40="уп",C40*INDEX(Справочник!$F$5:$F$28,MATCH(F40,Справочник!$A$5:$A$28,0)),C40))</f>
        <v>49</v>
      </c>
    </row>
    <row r="41" customFormat="false" ht="15" hidden="false" customHeight="false" outlineLevel="0" collapsed="false">
      <c r="A41" s="47" t="s">
        <v>111</v>
      </c>
      <c r="B41" s="47" t="s">
        <v>194</v>
      </c>
      <c r="C41" s="47" t="n">
        <v>35</v>
      </c>
      <c r="D41" s="47" t="s">
        <v>276</v>
      </c>
      <c r="E41" s="1"/>
      <c r="F41" s="26" t="str">
        <f aca="false">IFERROR(IF(A41="Таллинн",INDEX(Справочник!$A$5:$A$28,MATCH(B41,Справочник!$D$5:$D$28,0)),IF(A41="Тарту",INDEX(Справочник!$A$5:$A$28,MATCH(B41,Справочник!$E$5:$E$28,0)),INDEX(Справочник!$A$5:$A$28,MATCH(B41,Справочник!$C$5:$C$28,0)))),"нет в справочнике")</f>
        <v>SD-013</v>
      </c>
      <c r="G41" s="26" t="n">
        <f aca="false">IF(F41="нет в справочнике",0,IF(D41="уп",C41*INDEX(Справочник!$F$5:$F$28,MATCH(F41,Справочник!$A$5:$A$28,0)),C41))</f>
        <v>35</v>
      </c>
    </row>
    <row r="42" customFormat="false" ht="15" hidden="false" customHeight="false" outlineLevel="0" collapsed="false">
      <c r="A42" s="48" t="s">
        <v>111</v>
      </c>
      <c r="B42" s="48" t="s">
        <v>198</v>
      </c>
      <c r="C42" s="48" t="n">
        <v>32</v>
      </c>
      <c r="D42" s="48" t="s">
        <v>276</v>
      </c>
      <c r="E42" s="1"/>
      <c r="F42" s="26" t="str">
        <f aca="false">IFERROR(IF(A42="Таллинн",INDEX(Справочник!$A$5:$A$28,MATCH(B42,Справочник!$D$5:$D$28,0)),IF(A42="Тарту",INDEX(Справочник!$A$5:$A$28,MATCH(B42,Справочник!$E$5:$E$28,0)),INDEX(Справочник!$A$5:$A$28,MATCH(B42,Справочник!$C$5:$C$28,0)))),"нет в справочнике")</f>
        <v>SD-014</v>
      </c>
      <c r="G42" s="26" t="n">
        <f aca="false">IF(F42="нет в справочнике",0,IF(D42="уп",C42*INDEX(Справочник!$F$5:$F$28,MATCH(F42,Справочник!$A$5:$A$28,0)),C42))</f>
        <v>32</v>
      </c>
    </row>
    <row r="43" customFormat="false" ht="15" hidden="false" customHeight="false" outlineLevel="0" collapsed="false">
      <c r="A43" s="47" t="s">
        <v>111</v>
      </c>
      <c r="B43" s="47" t="s">
        <v>202</v>
      </c>
      <c r="C43" s="47" t="n">
        <v>67</v>
      </c>
      <c r="D43" s="47" t="s">
        <v>276</v>
      </c>
      <c r="E43" s="1"/>
      <c r="F43" s="26" t="str">
        <f aca="false">IFERROR(IF(A43="Таллинн",INDEX(Справочник!$A$5:$A$28,MATCH(B43,Справочник!$D$5:$D$28,0)),IF(A43="Тарту",INDEX(Справочник!$A$5:$A$28,MATCH(B43,Справочник!$E$5:$E$28,0)),INDEX(Справочник!$A$5:$A$28,MATCH(B43,Справочник!$C$5:$C$28,0)))),"нет в справочнике")</f>
        <v>SD-015</v>
      </c>
      <c r="G43" s="26" t="n">
        <f aca="false">IF(F43="нет в справочнике",0,IF(D43="уп",C43*INDEX(Справочник!$F$5:$F$28,MATCH(F43,Справочник!$A$5:$A$28,0)),C43))</f>
        <v>67</v>
      </c>
    </row>
    <row r="44" customFormat="false" ht="15" hidden="false" customHeight="false" outlineLevel="0" collapsed="false">
      <c r="A44" s="48" t="s">
        <v>111</v>
      </c>
      <c r="B44" s="48" t="s">
        <v>206</v>
      </c>
      <c r="C44" s="48" t="n">
        <v>19</v>
      </c>
      <c r="D44" s="48" t="s">
        <v>276</v>
      </c>
      <c r="E44" s="1"/>
      <c r="F44" s="26" t="str">
        <f aca="false">IFERROR(IF(A44="Таллинн",INDEX(Справочник!$A$5:$A$28,MATCH(B44,Справочник!$D$5:$D$28,0)),IF(A44="Тарту",INDEX(Справочник!$A$5:$A$28,MATCH(B44,Справочник!$E$5:$E$28,0)),INDEX(Справочник!$A$5:$A$28,MATCH(B44,Справочник!$C$5:$C$28,0)))),"нет в справочнике")</f>
        <v>SD-016</v>
      </c>
      <c r="G44" s="26" t="n">
        <f aca="false">IF(F44="нет в справочнике",0,IF(D44="уп",C44*INDEX(Справочник!$F$5:$F$28,MATCH(F44,Справочник!$A$5:$A$28,0)),C44))</f>
        <v>19</v>
      </c>
    </row>
    <row r="45" customFormat="false" ht="15" hidden="false" customHeight="false" outlineLevel="0" collapsed="false">
      <c r="A45" s="47" t="s">
        <v>111</v>
      </c>
      <c r="B45" s="47" t="s">
        <v>210</v>
      </c>
      <c r="C45" s="47" t="n">
        <v>58</v>
      </c>
      <c r="D45" s="47" t="s">
        <v>276</v>
      </c>
      <c r="E45" s="1"/>
      <c r="F45" s="26" t="str">
        <f aca="false">IFERROR(IF(A45="Таллинн",INDEX(Справочник!$A$5:$A$28,MATCH(B45,Справочник!$D$5:$D$28,0)),IF(A45="Тарту",INDEX(Справочник!$A$5:$A$28,MATCH(B45,Справочник!$E$5:$E$28,0)),INDEX(Справочник!$A$5:$A$28,MATCH(B45,Справочник!$C$5:$C$28,0)))),"нет в справочнике")</f>
        <v>SD-017</v>
      </c>
      <c r="G45" s="26" t="n">
        <f aca="false">IF(F45="нет в справочнике",0,IF(D45="уп",C45*INDEX(Справочник!$F$5:$F$28,MATCH(F45,Справочник!$A$5:$A$28,0)),C45))</f>
        <v>58</v>
      </c>
    </row>
    <row r="46" customFormat="false" ht="15" hidden="false" customHeight="false" outlineLevel="0" collapsed="false">
      <c r="A46" s="48" t="s">
        <v>111</v>
      </c>
      <c r="B46" s="48" t="s">
        <v>214</v>
      </c>
      <c r="C46" s="48" t="n">
        <v>11</v>
      </c>
      <c r="D46" s="48" t="s">
        <v>276</v>
      </c>
      <c r="E46" s="1"/>
      <c r="F46" s="26" t="str">
        <f aca="false">IFERROR(IF(A46="Таллинн",INDEX(Справочник!$A$5:$A$28,MATCH(B46,Справочник!$D$5:$D$28,0)),IF(A46="Тарту",INDEX(Справочник!$A$5:$A$28,MATCH(B46,Справочник!$E$5:$E$28,0)),INDEX(Справочник!$A$5:$A$28,MATCH(B46,Справочник!$C$5:$C$28,0)))),"нет в справочнике")</f>
        <v>SD-018</v>
      </c>
      <c r="G46" s="26" t="n">
        <f aca="false">IF(F46="нет в справочнике",0,IF(D46="уп",C46*INDEX(Справочник!$F$5:$F$28,MATCH(F46,Справочник!$A$5:$A$28,0)),C46))</f>
        <v>11</v>
      </c>
    </row>
    <row r="47" customFormat="false" ht="15" hidden="false" customHeight="false" outlineLevel="0" collapsed="false">
      <c r="A47" s="47" t="s">
        <v>111</v>
      </c>
      <c r="B47" s="47" t="s">
        <v>218</v>
      </c>
      <c r="C47" s="47" t="n">
        <v>41</v>
      </c>
      <c r="D47" s="47" t="s">
        <v>276</v>
      </c>
      <c r="E47" s="1"/>
      <c r="F47" s="26" t="str">
        <f aca="false">IFERROR(IF(A47="Таллинн",INDEX(Справочник!$A$5:$A$28,MATCH(B47,Справочник!$D$5:$D$28,0)),IF(A47="Тарту",INDEX(Справочник!$A$5:$A$28,MATCH(B47,Справочник!$E$5:$E$28,0)),INDEX(Справочник!$A$5:$A$28,MATCH(B47,Справочник!$C$5:$C$28,0)))),"нет в справочнике")</f>
        <v>SD-019</v>
      </c>
      <c r="G47" s="26" t="n">
        <f aca="false">IF(F47="нет в справочнике",0,IF(D47="уп",C47*INDEX(Справочник!$F$5:$F$28,MATCH(F47,Справочник!$A$5:$A$28,0)),C47))</f>
        <v>41</v>
      </c>
    </row>
    <row r="48" customFormat="false" ht="15" hidden="false" customHeight="false" outlineLevel="0" collapsed="false">
      <c r="A48" s="48" t="s">
        <v>111</v>
      </c>
      <c r="B48" s="48" t="s">
        <v>222</v>
      </c>
      <c r="C48" s="48" t="n">
        <v>56</v>
      </c>
      <c r="D48" s="48" t="s">
        <v>276</v>
      </c>
      <c r="E48" s="1"/>
      <c r="F48" s="26" t="str">
        <f aca="false">IFERROR(IF(A48="Таллинн",INDEX(Справочник!$A$5:$A$28,MATCH(B48,Справочник!$D$5:$D$28,0)),IF(A48="Тарту",INDEX(Справочник!$A$5:$A$28,MATCH(B48,Справочник!$E$5:$E$28,0)),INDEX(Справочник!$A$5:$A$28,MATCH(B48,Справочник!$C$5:$C$28,0)))),"нет в справочнике")</f>
        <v>SD-020</v>
      </c>
      <c r="G48" s="26" t="n">
        <f aca="false">IF(F48="нет в справочнике",0,IF(D48="уп",C48*INDEX(Справочник!$F$5:$F$28,MATCH(F48,Справочник!$A$5:$A$28,0)),C48))</f>
        <v>56</v>
      </c>
    </row>
    <row r="49" customFormat="false" ht="15" hidden="false" customHeight="false" outlineLevel="0" collapsed="false">
      <c r="A49" s="47" t="s">
        <v>111</v>
      </c>
      <c r="B49" s="47" t="s">
        <v>226</v>
      </c>
      <c r="C49" s="47" t="n">
        <v>21</v>
      </c>
      <c r="D49" s="47" t="s">
        <v>276</v>
      </c>
      <c r="E49" s="1"/>
      <c r="F49" s="26" t="str">
        <f aca="false">IFERROR(IF(A49="Таллинн",INDEX(Справочник!$A$5:$A$28,MATCH(B49,Справочник!$D$5:$D$28,0)),IF(A49="Тарту",INDEX(Справочник!$A$5:$A$28,MATCH(B49,Справочник!$E$5:$E$28,0)),INDEX(Справочник!$A$5:$A$28,MATCH(B49,Справочник!$C$5:$C$28,0)))),"нет в справочнике")</f>
        <v>SD-021</v>
      </c>
      <c r="G49" s="26" t="n">
        <f aca="false">IF(F49="нет в справочнике",0,IF(D49="уп",C49*INDEX(Справочник!$F$5:$F$28,MATCH(F49,Справочник!$A$5:$A$28,0)),C49))</f>
        <v>21</v>
      </c>
    </row>
    <row r="50" customFormat="false" ht="15" hidden="false" customHeight="false" outlineLevel="0" collapsed="false">
      <c r="A50" s="48" t="s">
        <v>111</v>
      </c>
      <c r="B50" s="48" t="s">
        <v>230</v>
      </c>
      <c r="C50" s="48" t="n">
        <v>100</v>
      </c>
      <c r="D50" s="48" t="s">
        <v>276</v>
      </c>
      <c r="E50" s="1"/>
      <c r="F50" s="26" t="str">
        <f aca="false">IFERROR(IF(A50="Таллинн",INDEX(Справочник!$A$5:$A$28,MATCH(B50,Справочник!$D$5:$D$28,0)),IF(A50="Тарту",INDEX(Справочник!$A$5:$A$28,MATCH(B50,Справочник!$E$5:$E$28,0)),INDEX(Справочник!$A$5:$A$28,MATCH(B50,Справочник!$C$5:$C$28,0)))),"нет в справочнике")</f>
        <v>SD-022</v>
      </c>
      <c r="G50" s="26" t="n">
        <f aca="false">IF(F50="нет в справочнике",0,IF(D50="уп",C50*INDEX(Справочник!$F$5:$F$28,MATCH(F50,Справочник!$A$5:$A$28,0)),C50))</f>
        <v>100</v>
      </c>
    </row>
    <row r="51" customFormat="false" ht="15" hidden="false" customHeight="false" outlineLevel="0" collapsed="false">
      <c r="A51" s="47" t="s">
        <v>111</v>
      </c>
      <c r="B51" s="47" t="s">
        <v>235</v>
      </c>
      <c r="C51" s="47" t="n">
        <v>46</v>
      </c>
      <c r="D51" s="47" t="s">
        <v>276</v>
      </c>
      <c r="E51" s="1"/>
      <c r="F51" s="26" t="str">
        <f aca="false">IFERROR(IF(A51="Таллинн",INDEX(Справочник!$A$5:$A$28,MATCH(B51,Справочник!$D$5:$D$28,0)),IF(A51="Тарту",INDEX(Справочник!$A$5:$A$28,MATCH(B51,Справочник!$E$5:$E$28,0)),INDEX(Справочник!$A$5:$A$28,MATCH(B51,Справочник!$C$5:$C$28,0)))),"нет в справочнике")</f>
        <v>SD-023</v>
      </c>
      <c r="G51" s="26" t="n">
        <f aca="false">IF(F51="нет в справочнике",0,IF(D51="уп",C51*INDEX(Справочник!$F$5:$F$28,MATCH(F51,Справочник!$A$5:$A$28,0)),C51))</f>
        <v>46</v>
      </c>
    </row>
    <row r="52" customFormat="false" ht="15" hidden="false" customHeight="false" outlineLevel="0" collapsed="false">
      <c r="A52" s="48" t="s">
        <v>111</v>
      </c>
      <c r="B52" s="48" t="s">
        <v>239</v>
      </c>
      <c r="C52" s="48" t="n">
        <v>58</v>
      </c>
      <c r="D52" s="48" t="s">
        <v>276</v>
      </c>
      <c r="E52" s="1"/>
      <c r="F52" s="26" t="str">
        <f aca="false">IFERROR(IF(A52="Таллинн",INDEX(Справочник!$A$5:$A$28,MATCH(B52,Справочник!$D$5:$D$28,0)),IF(A52="Тарту",INDEX(Справочник!$A$5:$A$28,MATCH(B52,Справочник!$E$5:$E$28,0)),INDEX(Справочник!$A$5:$A$28,MATCH(B52,Справочник!$C$5:$C$28,0)))),"нет в справочнике")</f>
        <v>SD-024</v>
      </c>
      <c r="G52" s="26" t="n">
        <f aca="false">IF(F52="нет в справочнике",0,IF(D52="уп",C52*INDEX(Справочник!$F$5:$F$28,MATCH(F52,Справочник!$A$5:$A$28,0)),C52))</f>
        <v>58</v>
      </c>
    </row>
    <row r="53" customFormat="false" ht="15" hidden="false" customHeight="false" outlineLevel="0" collapsed="false">
      <c r="A53" s="47" t="s">
        <v>118</v>
      </c>
      <c r="B53" s="47" t="s">
        <v>141</v>
      </c>
      <c r="C53" s="47" t="n">
        <v>41</v>
      </c>
      <c r="D53" s="47" t="s">
        <v>276</v>
      </c>
      <c r="E53" s="1"/>
      <c r="F53" s="26" t="str">
        <f aca="false">IFERROR(IF(A53="Таллинн",INDEX(Справочник!$A$5:$A$28,MATCH(B53,Справочник!$D$5:$D$28,0)),IF(A53="Тарту",INDEX(Справочник!$A$5:$A$28,MATCH(B53,Справочник!$E$5:$E$28,0)),INDEX(Справочник!$A$5:$A$28,MATCH(B53,Справочник!$C$5:$C$28,0)))),"нет в справочнике")</f>
        <v>SD-001</v>
      </c>
      <c r="G53" s="26" t="n">
        <f aca="false">IF(F53="нет в справочнике",0,IF(D53="уп",C53*INDEX(Справочник!$F$5:$F$28,MATCH(F53,Справочник!$A$5:$A$28,0)),C53))</f>
        <v>41</v>
      </c>
    </row>
    <row r="54" customFormat="false" ht="15" hidden="false" customHeight="false" outlineLevel="0" collapsed="false">
      <c r="A54" s="48" t="s">
        <v>118</v>
      </c>
      <c r="B54" s="48" t="s">
        <v>145</v>
      </c>
      <c r="C54" s="48" t="n">
        <v>58</v>
      </c>
      <c r="D54" s="48" t="s">
        <v>276</v>
      </c>
      <c r="E54" s="1"/>
      <c r="F54" s="26" t="str">
        <f aca="false">IFERROR(IF(A54="Таллинн",INDEX(Справочник!$A$5:$A$28,MATCH(B54,Справочник!$D$5:$D$28,0)),IF(A54="Тарту",INDEX(Справочник!$A$5:$A$28,MATCH(B54,Справочник!$E$5:$E$28,0)),INDEX(Справочник!$A$5:$A$28,MATCH(B54,Справочник!$C$5:$C$28,0)))),"нет в справочнике")</f>
        <v>SD-002</v>
      </c>
      <c r="G54" s="26" t="n">
        <f aca="false">IF(F54="нет в справочнике",0,IF(D54="уп",C54*INDEX(Справочник!$F$5:$F$28,MATCH(F54,Справочник!$A$5:$A$28,0)),C54))</f>
        <v>58</v>
      </c>
    </row>
    <row r="55" customFormat="false" ht="15" hidden="false" customHeight="false" outlineLevel="0" collapsed="false">
      <c r="A55" s="47" t="s">
        <v>118</v>
      </c>
      <c r="B55" s="47" t="s">
        <v>149</v>
      </c>
      <c r="C55" s="47" t="n">
        <v>18</v>
      </c>
      <c r="D55" s="47" t="s">
        <v>276</v>
      </c>
      <c r="E55" s="1"/>
      <c r="F55" s="26" t="str">
        <f aca="false">IFERROR(IF(A55="Таллинн",INDEX(Справочник!$A$5:$A$28,MATCH(B55,Справочник!$D$5:$D$28,0)),IF(A55="Тарту",INDEX(Справочник!$A$5:$A$28,MATCH(B55,Справочник!$E$5:$E$28,0)),INDEX(Справочник!$A$5:$A$28,MATCH(B55,Справочник!$C$5:$C$28,0)))),"нет в справочнике")</f>
        <v>SD-003</v>
      </c>
      <c r="G55" s="26" t="n">
        <f aca="false">IF(F55="нет в справочнике",0,IF(D55="уп",C55*INDEX(Справочник!$F$5:$F$28,MATCH(F55,Справочник!$A$5:$A$28,0)),C55))</f>
        <v>18</v>
      </c>
    </row>
    <row r="56" customFormat="false" ht="15" hidden="false" customHeight="false" outlineLevel="0" collapsed="false">
      <c r="A56" s="48" t="s">
        <v>118</v>
      </c>
      <c r="B56" s="48" t="s">
        <v>154</v>
      </c>
      <c r="C56" s="48" t="n">
        <v>18</v>
      </c>
      <c r="D56" s="48" t="s">
        <v>276</v>
      </c>
      <c r="E56" s="1"/>
      <c r="F56" s="26" t="str">
        <f aca="false">IFERROR(IF(A56="Таллинн",INDEX(Справочник!$A$5:$A$28,MATCH(B56,Справочник!$D$5:$D$28,0)),IF(A56="Тарту",INDEX(Справочник!$A$5:$A$28,MATCH(B56,Справочник!$E$5:$E$28,0)),INDEX(Справочник!$A$5:$A$28,MATCH(B56,Справочник!$C$5:$C$28,0)))),"нет в справочнике")</f>
        <v>SD-004</v>
      </c>
      <c r="G56" s="26" t="n">
        <f aca="false">IF(F56="нет в справочнике",0,IF(D56="уп",C56*INDEX(Справочник!$F$5:$F$28,MATCH(F56,Справочник!$A$5:$A$28,0)),C56))</f>
        <v>18</v>
      </c>
    </row>
    <row r="57" customFormat="false" ht="15" hidden="false" customHeight="false" outlineLevel="0" collapsed="false">
      <c r="A57" s="47" t="s">
        <v>118</v>
      </c>
      <c r="B57" s="47" t="s">
        <v>158</v>
      </c>
      <c r="C57" s="47" t="n">
        <v>4</v>
      </c>
      <c r="D57" s="47" t="s">
        <v>277</v>
      </c>
      <c r="E57" s="1"/>
      <c r="F57" s="26" t="str">
        <f aca="false">IFERROR(IF(A57="Таллинн",INDEX(Справочник!$A$5:$A$28,MATCH(B57,Справочник!$D$5:$D$28,0)),IF(A57="Тарту",INDEX(Справочник!$A$5:$A$28,MATCH(B57,Справочник!$E$5:$E$28,0)),INDEX(Справочник!$A$5:$A$28,MATCH(B57,Справочник!$C$5:$C$28,0)))),"нет в справочнике")</f>
        <v>SD-005</v>
      </c>
      <c r="G57" s="26" t="n">
        <f aca="false">IF(F57="нет в справочнике",0,IF(D57="уп",C57*INDEX(Справочник!$F$5:$F$28,MATCH(F57,Справочник!$A$5:$A$28,0)),C57))</f>
        <v>40</v>
      </c>
    </row>
    <row r="58" customFormat="false" ht="15" hidden="false" customHeight="false" outlineLevel="0" collapsed="false">
      <c r="A58" s="48" t="s">
        <v>118</v>
      </c>
      <c r="B58" s="48" t="s">
        <v>158</v>
      </c>
      <c r="C58" s="48" t="n">
        <v>5</v>
      </c>
      <c r="D58" s="48" t="s">
        <v>276</v>
      </c>
      <c r="E58" s="1"/>
      <c r="F58" s="26" t="str">
        <f aca="false">IFERROR(IF(A58="Таллинн",INDEX(Справочник!$A$5:$A$28,MATCH(B58,Справочник!$D$5:$D$28,0)),IF(A58="Тарту",INDEX(Справочник!$A$5:$A$28,MATCH(B58,Справочник!$E$5:$E$28,0)),INDEX(Справочник!$A$5:$A$28,MATCH(B58,Справочник!$C$5:$C$28,0)))),"нет в справочнике")</f>
        <v>SD-005</v>
      </c>
      <c r="G58" s="26" t="n">
        <f aca="false">IF(F58="нет в справочнике",0,IF(D58="уп",C58*INDEX(Справочник!$F$5:$F$28,MATCH(F58,Справочник!$A$5:$A$28,0)),C58))</f>
        <v>5</v>
      </c>
    </row>
    <row r="59" customFormat="false" ht="15" hidden="false" customHeight="false" outlineLevel="0" collapsed="false">
      <c r="A59" s="47" t="s">
        <v>118</v>
      </c>
      <c r="B59" s="47" t="s">
        <v>163</v>
      </c>
      <c r="C59" s="47" t="n">
        <v>3</v>
      </c>
      <c r="D59" s="47" t="s">
        <v>277</v>
      </c>
      <c r="E59" s="1"/>
      <c r="F59" s="26" t="str">
        <f aca="false">IFERROR(IF(A59="Таллинн",INDEX(Справочник!$A$5:$A$28,MATCH(B59,Справочник!$D$5:$D$28,0)),IF(A59="Тарту",INDEX(Справочник!$A$5:$A$28,MATCH(B59,Справочник!$E$5:$E$28,0)),INDEX(Справочник!$A$5:$A$28,MATCH(B59,Справочник!$C$5:$C$28,0)))),"нет в справочнике")</f>
        <v>SD-006</v>
      </c>
      <c r="G59" s="26" t="n">
        <f aca="false">IF(F59="нет в справочнике",0,IF(D59="уп",C59*INDEX(Справочник!$F$5:$F$28,MATCH(F59,Справочник!$A$5:$A$28,0)),C59))</f>
        <v>36</v>
      </c>
    </row>
    <row r="60" customFormat="false" ht="15" hidden="false" customHeight="false" outlineLevel="0" collapsed="false">
      <c r="A60" s="48" t="s">
        <v>118</v>
      </c>
      <c r="B60" s="48" t="s">
        <v>163</v>
      </c>
      <c r="C60" s="48" t="n">
        <v>1</v>
      </c>
      <c r="D60" s="48" t="s">
        <v>276</v>
      </c>
      <c r="E60" s="1"/>
      <c r="F60" s="26" t="str">
        <f aca="false">IFERROR(IF(A60="Таллинн",INDEX(Справочник!$A$5:$A$28,MATCH(B60,Справочник!$D$5:$D$28,0)),IF(A60="Тарту",INDEX(Справочник!$A$5:$A$28,MATCH(B60,Справочник!$E$5:$E$28,0)),INDEX(Справочник!$A$5:$A$28,MATCH(B60,Справочник!$C$5:$C$28,0)))),"нет в справочнике")</f>
        <v>SD-006</v>
      </c>
      <c r="G60" s="26" t="n">
        <f aca="false">IF(F60="нет в справочнике",0,IF(D60="уп",C60*INDEX(Справочник!$F$5:$F$28,MATCH(F60,Справочник!$A$5:$A$28,0)),C60))</f>
        <v>1</v>
      </c>
    </row>
    <row r="61" customFormat="false" ht="15" hidden="false" customHeight="false" outlineLevel="0" collapsed="false">
      <c r="A61" s="47" t="s">
        <v>118</v>
      </c>
      <c r="B61" s="47" t="s">
        <v>167</v>
      </c>
      <c r="C61" s="47" t="n">
        <v>3</v>
      </c>
      <c r="D61" s="47" t="s">
        <v>277</v>
      </c>
      <c r="E61" s="1"/>
      <c r="F61" s="26" t="str">
        <f aca="false">IFERROR(IF(A61="Таллинн",INDEX(Справочник!$A$5:$A$28,MATCH(B61,Справочник!$D$5:$D$28,0)),IF(A61="Тарту",INDEX(Справочник!$A$5:$A$28,MATCH(B61,Справочник!$E$5:$E$28,0)),INDEX(Справочник!$A$5:$A$28,MATCH(B61,Справочник!$C$5:$C$28,0)))),"нет в справочнике")</f>
        <v>SD-007</v>
      </c>
      <c r="G61" s="26" t="n">
        <f aca="false">IF(F61="нет в справочнике",0,IF(D61="уп",C61*INDEX(Справочник!$F$5:$F$28,MATCH(F61,Справочник!$A$5:$A$28,0)),C61))</f>
        <v>72</v>
      </c>
    </row>
    <row r="62" customFormat="false" ht="15" hidden="false" customHeight="false" outlineLevel="0" collapsed="false">
      <c r="A62" s="48" t="s">
        <v>118</v>
      </c>
      <c r="B62" s="48" t="s">
        <v>167</v>
      </c>
      <c r="C62" s="48" t="n">
        <v>18</v>
      </c>
      <c r="D62" s="48" t="s">
        <v>276</v>
      </c>
      <c r="E62" s="1"/>
      <c r="F62" s="26" t="str">
        <f aca="false">IFERROR(IF(A62="Таллинн",INDEX(Справочник!$A$5:$A$28,MATCH(B62,Справочник!$D$5:$D$28,0)),IF(A62="Тарту",INDEX(Справочник!$A$5:$A$28,MATCH(B62,Справочник!$E$5:$E$28,0)),INDEX(Справочник!$A$5:$A$28,MATCH(B62,Справочник!$C$5:$C$28,0)))),"нет в справочнике")</f>
        <v>SD-007</v>
      </c>
      <c r="G62" s="26" t="n">
        <f aca="false">IF(F62="нет в справочнике",0,IF(D62="уп",C62*INDEX(Справочник!$F$5:$F$28,MATCH(F62,Справочник!$A$5:$A$28,0)),C62))</f>
        <v>18</v>
      </c>
    </row>
    <row r="63" customFormat="false" ht="15" hidden="false" customHeight="false" outlineLevel="0" collapsed="false">
      <c r="A63" s="47" t="s">
        <v>118</v>
      </c>
      <c r="B63" s="47" t="s">
        <v>171</v>
      </c>
      <c r="C63" s="47" t="n">
        <v>5</v>
      </c>
      <c r="D63" s="47" t="s">
        <v>277</v>
      </c>
      <c r="E63" s="1"/>
      <c r="F63" s="26" t="str">
        <f aca="false">IFERROR(IF(A63="Таллинн",INDEX(Справочник!$A$5:$A$28,MATCH(B63,Справочник!$D$5:$D$28,0)),IF(A63="Тарту",INDEX(Справочник!$A$5:$A$28,MATCH(B63,Справочник!$E$5:$E$28,0)),INDEX(Справочник!$A$5:$A$28,MATCH(B63,Справочник!$C$5:$C$28,0)))),"нет в справочнике")</f>
        <v>SD-008</v>
      </c>
      <c r="G63" s="26" t="n">
        <f aca="false">IF(F63="нет в справочнике",0,IF(D63="уп",C63*INDEX(Справочник!$F$5:$F$28,MATCH(F63,Справочник!$A$5:$A$28,0)),C63))</f>
        <v>60</v>
      </c>
    </row>
    <row r="64" customFormat="false" ht="15" hidden="false" customHeight="false" outlineLevel="0" collapsed="false">
      <c r="A64" s="48" t="s">
        <v>118</v>
      </c>
      <c r="B64" s="48" t="s">
        <v>171</v>
      </c>
      <c r="C64" s="48" t="n">
        <v>11</v>
      </c>
      <c r="D64" s="48" t="s">
        <v>276</v>
      </c>
      <c r="E64" s="1"/>
      <c r="F64" s="26" t="str">
        <f aca="false">IFERROR(IF(A64="Таллинн",INDEX(Справочник!$A$5:$A$28,MATCH(B64,Справочник!$D$5:$D$28,0)),IF(A64="Тарту",INDEX(Справочник!$A$5:$A$28,MATCH(B64,Справочник!$E$5:$E$28,0)),INDEX(Справочник!$A$5:$A$28,MATCH(B64,Справочник!$C$5:$C$28,0)))),"нет в справочнике")</f>
        <v>SD-008</v>
      </c>
      <c r="G64" s="26" t="n">
        <f aca="false">IF(F64="нет в справочнике",0,IF(D64="уп",C64*INDEX(Справочник!$F$5:$F$28,MATCH(F64,Справочник!$A$5:$A$28,0)),C64))</f>
        <v>11</v>
      </c>
    </row>
    <row r="65" customFormat="false" ht="15" hidden="false" customHeight="false" outlineLevel="0" collapsed="false">
      <c r="A65" s="47" t="s">
        <v>118</v>
      </c>
      <c r="B65" s="47" t="s">
        <v>175</v>
      </c>
      <c r="C65" s="47" t="n">
        <v>3</v>
      </c>
      <c r="D65" s="47" t="s">
        <v>277</v>
      </c>
      <c r="E65" s="1"/>
      <c r="F65" s="26" t="str">
        <f aca="false">IFERROR(IF(A65="Таллинн",INDEX(Справочник!$A$5:$A$28,MATCH(B65,Справочник!$D$5:$D$28,0)),IF(A65="Тарту",INDEX(Справочник!$A$5:$A$28,MATCH(B65,Справочник!$E$5:$E$28,0)),INDEX(Справочник!$A$5:$A$28,MATCH(B65,Справочник!$C$5:$C$28,0)))),"нет в справочнике")</f>
        <v>SD-009</v>
      </c>
      <c r="G65" s="26" t="n">
        <f aca="false">IF(F65="нет в справочнике",0,IF(D65="уп",C65*INDEX(Справочник!$F$5:$F$28,MATCH(F65,Справочник!$A$5:$A$28,0)),C65))</f>
        <v>30</v>
      </c>
    </row>
    <row r="66" customFormat="false" ht="15" hidden="false" customHeight="false" outlineLevel="0" collapsed="false">
      <c r="A66" s="48" t="s">
        <v>118</v>
      </c>
      <c r="B66" s="48" t="s">
        <v>175</v>
      </c>
      <c r="C66" s="48" t="n">
        <v>4</v>
      </c>
      <c r="D66" s="48" t="s">
        <v>276</v>
      </c>
      <c r="E66" s="1"/>
      <c r="F66" s="26" t="str">
        <f aca="false">IFERROR(IF(A66="Таллинн",INDEX(Справочник!$A$5:$A$28,MATCH(B66,Справочник!$D$5:$D$28,0)),IF(A66="Тарту",INDEX(Справочник!$A$5:$A$28,MATCH(B66,Справочник!$E$5:$E$28,0)),INDEX(Справочник!$A$5:$A$28,MATCH(B66,Справочник!$C$5:$C$28,0)))),"нет в справочнике")</f>
        <v>SD-009</v>
      </c>
      <c r="G66" s="26" t="n">
        <f aca="false">IF(F66="нет в справочнике",0,IF(D66="уп",C66*INDEX(Справочник!$F$5:$F$28,MATCH(F66,Справочник!$A$5:$A$28,0)),C66))</f>
        <v>4</v>
      </c>
    </row>
    <row r="67" customFormat="false" ht="15" hidden="false" customHeight="false" outlineLevel="0" collapsed="false">
      <c r="A67" s="47" t="s">
        <v>118</v>
      </c>
      <c r="B67" s="47" t="s">
        <v>180</v>
      </c>
      <c r="C67" s="47" t="n">
        <v>3</v>
      </c>
      <c r="D67" s="47" t="s">
        <v>277</v>
      </c>
      <c r="E67" s="1"/>
      <c r="F67" s="26" t="str">
        <f aca="false">IFERROR(IF(A67="Таллинн",INDEX(Справочник!$A$5:$A$28,MATCH(B67,Справочник!$D$5:$D$28,0)),IF(A67="Тарту",INDEX(Справочник!$A$5:$A$28,MATCH(B67,Справочник!$E$5:$E$28,0)),INDEX(Справочник!$A$5:$A$28,MATCH(B67,Справочник!$C$5:$C$28,0)))),"нет в справочнике")</f>
        <v>SD-010</v>
      </c>
      <c r="G67" s="26" t="n">
        <f aca="false">IF(F67="нет в справочнике",0,IF(D67="уп",C67*INDEX(Справочник!$F$5:$F$28,MATCH(F67,Справочник!$A$5:$A$28,0)),C67))</f>
        <v>60</v>
      </c>
    </row>
    <row r="68" customFormat="false" ht="15" hidden="false" customHeight="false" outlineLevel="0" collapsed="false">
      <c r="A68" s="48" t="s">
        <v>118</v>
      </c>
      <c r="B68" s="48" t="s">
        <v>180</v>
      </c>
      <c r="C68" s="48" t="n">
        <v>5</v>
      </c>
      <c r="D68" s="48" t="s">
        <v>276</v>
      </c>
      <c r="E68" s="1"/>
      <c r="F68" s="26" t="str">
        <f aca="false">IFERROR(IF(A68="Таллинн",INDEX(Справочник!$A$5:$A$28,MATCH(B68,Справочник!$D$5:$D$28,0)),IF(A68="Тарту",INDEX(Справочник!$A$5:$A$28,MATCH(B68,Справочник!$E$5:$E$28,0)),INDEX(Справочник!$A$5:$A$28,MATCH(B68,Справочник!$C$5:$C$28,0)))),"нет в справочнике")</f>
        <v>SD-010</v>
      </c>
      <c r="G68" s="26" t="n">
        <f aca="false">IF(F68="нет в справочнике",0,IF(D68="уп",C68*INDEX(Справочник!$F$5:$F$28,MATCH(F68,Справочник!$A$5:$A$28,0)),C68))</f>
        <v>5</v>
      </c>
    </row>
    <row r="69" customFormat="false" ht="15" hidden="false" customHeight="false" outlineLevel="0" collapsed="false">
      <c r="A69" s="47" t="s">
        <v>118</v>
      </c>
      <c r="B69" s="47" t="s">
        <v>184</v>
      </c>
      <c r="C69" s="47" t="n">
        <v>25</v>
      </c>
      <c r="D69" s="47" t="s">
        <v>276</v>
      </c>
      <c r="E69" s="1"/>
      <c r="F69" s="26" t="str">
        <f aca="false">IFERROR(IF(A69="Таллинн",INDEX(Справочник!$A$5:$A$28,MATCH(B69,Справочник!$D$5:$D$28,0)),IF(A69="Тарту",INDEX(Справочник!$A$5:$A$28,MATCH(B69,Справочник!$E$5:$E$28,0)),INDEX(Справочник!$A$5:$A$28,MATCH(B69,Справочник!$C$5:$C$28,0)))),"нет в справочнике")</f>
        <v>SD-011</v>
      </c>
      <c r="G69" s="26" t="n">
        <f aca="false">IF(F69="нет в справочнике",0,IF(D69="уп",C69*INDEX(Справочник!$F$5:$F$28,MATCH(F69,Справочник!$A$5:$A$28,0)),C69))</f>
        <v>25</v>
      </c>
    </row>
    <row r="70" customFormat="false" ht="15" hidden="false" customHeight="false" outlineLevel="0" collapsed="false">
      <c r="A70" s="48" t="s">
        <v>118</v>
      </c>
      <c r="B70" s="48" t="s">
        <v>188</v>
      </c>
      <c r="C70" s="48" t="n">
        <v>32</v>
      </c>
      <c r="D70" s="48" t="s">
        <v>276</v>
      </c>
      <c r="E70" s="1"/>
      <c r="F70" s="26" t="str">
        <f aca="false">IFERROR(IF(A70="Таллинн",INDEX(Справочник!$A$5:$A$28,MATCH(B70,Справочник!$D$5:$D$28,0)),IF(A70="Тарту",INDEX(Справочник!$A$5:$A$28,MATCH(B70,Справочник!$E$5:$E$28,0)),INDEX(Справочник!$A$5:$A$28,MATCH(B70,Справочник!$C$5:$C$28,0)))),"нет в справочнике")</f>
        <v>SD-012</v>
      </c>
      <c r="G70" s="26" t="n">
        <f aca="false">IF(F70="нет в справочнике",0,IF(D70="уп",C70*INDEX(Справочник!$F$5:$F$28,MATCH(F70,Справочник!$A$5:$A$28,0)),C70))</f>
        <v>32</v>
      </c>
    </row>
    <row r="71" customFormat="false" ht="15" hidden="false" customHeight="false" outlineLevel="0" collapsed="false">
      <c r="A71" s="47" t="s">
        <v>118</v>
      </c>
      <c r="B71" s="47" t="s">
        <v>192</v>
      </c>
      <c r="C71" s="47" t="n">
        <v>32</v>
      </c>
      <c r="D71" s="47" t="s">
        <v>276</v>
      </c>
      <c r="E71" s="1"/>
      <c r="F71" s="26" t="str">
        <f aca="false">IFERROR(IF(A71="Таллинн",INDEX(Справочник!$A$5:$A$28,MATCH(B71,Справочник!$D$5:$D$28,0)),IF(A71="Тарту",INDEX(Справочник!$A$5:$A$28,MATCH(B71,Справочник!$E$5:$E$28,0)),INDEX(Справочник!$A$5:$A$28,MATCH(B71,Справочник!$C$5:$C$28,0)))),"нет в справочнике")</f>
        <v>SD-013</v>
      </c>
      <c r="G71" s="26" t="n">
        <f aca="false">IF(F71="нет в справочнике",0,IF(D71="уп",C71*INDEX(Справочник!$F$5:$F$28,MATCH(F71,Справочник!$A$5:$A$28,0)),C71))</f>
        <v>32</v>
      </c>
    </row>
    <row r="72" customFormat="false" ht="15" hidden="false" customHeight="false" outlineLevel="0" collapsed="false">
      <c r="A72" s="48" t="s">
        <v>118</v>
      </c>
      <c r="B72" s="48" t="s">
        <v>196</v>
      </c>
      <c r="C72" s="48" t="n">
        <v>5</v>
      </c>
      <c r="D72" s="48" t="s">
        <v>277</v>
      </c>
      <c r="E72" s="1"/>
      <c r="F72" s="26" t="str">
        <f aca="false">IFERROR(IF(A72="Таллинн",INDEX(Справочник!$A$5:$A$28,MATCH(B72,Справочник!$D$5:$D$28,0)),IF(A72="Тарту",INDEX(Справочник!$A$5:$A$28,MATCH(B72,Справочник!$E$5:$E$28,0)),INDEX(Справочник!$A$5:$A$28,MATCH(B72,Справочник!$C$5:$C$28,0)))),"нет в справочнике")</f>
        <v>SD-014</v>
      </c>
      <c r="G72" s="26" t="n">
        <f aca="false">IF(F72="нет в справочнике",0,IF(D72="уп",C72*INDEX(Справочник!$F$5:$F$28,MATCH(F72,Справочник!$A$5:$A$28,0)),C72))</f>
        <v>60</v>
      </c>
    </row>
    <row r="73" customFormat="false" ht="15" hidden="false" customHeight="false" outlineLevel="0" collapsed="false">
      <c r="A73" s="47" t="s">
        <v>118</v>
      </c>
      <c r="B73" s="47" t="s">
        <v>196</v>
      </c>
      <c r="C73" s="47" t="n">
        <v>7</v>
      </c>
      <c r="D73" s="47" t="s">
        <v>276</v>
      </c>
      <c r="E73" s="1"/>
      <c r="F73" s="26" t="str">
        <f aca="false">IFERROR(IF(A73="Таллинн",INDEX(Справочник!$A$5:$A$28,MATCH(B73,Справочник!$D$5:$D$28,0)),IF(A73="Тарту",INDEX(Справочник!$A$5:$A$28,MATCH(B73,Справочник!$E$5:$E$28,0)),INDEX(Справочник!$A$5:$A$28,MATCH(B73,Справочник!$C$5:$C$28,0)))),"нет в справочнике")</f>
        <v>SD-014</v>
      </c>
      <c r="G73" s="26" t="n">
        <f aca="false">IF(F73="нет в справочнике",0,IF(D73="уп",C73*INDEX(Справочник!$F$5:$F$28,MATCH(F73,Справочник!$A$5:$A$28,0)),C73))</f>
        <v>7</v>
      </c>
    </row>
    <row r="74" customFormat="false" ht="15" hidden="false" customHeight="false" outlineLevel="0" collapsed="false">
      <c r="A74" s="48" t="s">
        <v>118</v>
      </c>
      <c r="B74" s="48" t="s">
        <v>200</v>
      </c>
      <c r="C74" s="48" t="n">
        <v>5</v>
      </c>
      <c r="D74" s="48" t="s">
        <v>277</v>
      </c>
      <c r="E74" s="1"/>
      <c r="F74" s="26" t="str">
        <f aca="false">IFERROR(IF(A74="Таллинн",INDEX(Справочник!$A$5:$A$28,MATCH(B74,Справочник!$D$5:$D$28,0)),IF(A74="Тарту",INDEX(Справочник!$A$5:$A$28,MATCH(B74,Справочник!$E$5:$E$28,0)),INDEX(Справочник!$A$5:$A$28,MATCH(B74,Справочник!$C$5:$C$28,0)))),"нет в справочнике")</f>
        <v>SD-015</v>
      </c>
      <c r="G74" s="26" t="n">
        <f aca="false">IF(F74="нет в справочнике",0,IF(D74="уп",C74*INDEX(Справочник!$F$5:$F$28,MATCH(F74,Справочник!$A$5:$A$28,0)),C74))</f>
        <v>60</v>
      </c>
    </row>
    <row r="75" customFormat="false" ht="15" hidden="false" customHeight="false" outlineLevel="0" collapsed="false">
      <c r="A75" s="47" t="s">
        <v>118</v>
      </c>
      <c r="B75" s="47" t="s">
        <v>200</v>
      </c>
      <c r="C75" s="47" t="n">
        <v>1</v>
      </c>
      <c r="D75" s="47" t="s">
        <v>276</v>
      </c>
      <c r="E75" s="1"/>
      <c r="F75" s="26" t="str">
        <f aca="false">IFERROR(IF(A75="Таллинн",INDEX(Справочник!$A$5:$A$28,MATCH(B75,Справочник!$D$5:$D$28,0)),IF(A75="Тарту",INDEX(Справочник!$A$5:$A$28,MATCH(B75,Справочник!$E$5:$E$28,0)),INDEX(Справочник!$A$5:$A$28,MATCH(B75,Справочник!$C$5:$C$28,0)))),"нет в справочнике")</f>
        <v>SD-015</v>
      </c>
      <c r="G75" s="26" t="n">
        <f aca="false">IF(F75="нет в справочнике",0,IF(D75="уп",C75*INDEX(Справочник!$F$5:$F$28,MATCH(F75,Справочник!$A$5:$A$28,0)),C75))</f>
        <v>1</v>
      </c>
    </row>
    <row r="76" customFormat="false" ht="15" hidden="false" customHeight="false" outlineLevel="0" collapsed="false">
      <c r="A76" s="48" t="s">
        <v>118</v>
      </c>
      <c r="B76" s="48" t="s">
        <v>204</v>
      </c>
      <c r="C76" s="48" t="n">
        <v>16</v>
      </c>
      <c r="D76" s="48" t="s">
        <v>276</v>
      </c>
      <c r="E76" s="1"/>
      <c r="F76" s="26" t="str">
        <f aca="false">IFERROR(IF(A76="Таллинн",INDEX(Справочник!$A$5:$A$28,MATCH(B76,Справочник!$D$5:$D$28,0)),IF(A76="Тарту",INDEX(Справочник!$A$5:$A$28,MATCH(B76,Справочник!$E$5:$E$28,0)),INDEX(Справочник!$A$5:$A$28,MATCH(B76,Справочник!$C$5:$C$28,0)))),"нет в справочнике")</f>
        <v>SD-016</v>
      </c>
      <c r="G76" s="26" t="n">
        <f aca="false">IF(F76="нет в справочнике",0,IF(D76="уп",C76*INDEX(Справочник!$F$5:$F$28,MATCH(F76,Справочник!$A$5:$A$28,0)),C76))</f>
        <v>16</v>
      </c>
    </row>
    <row r="77" customFormat="false" ht="15" hidden="false" customHeight="false" outlineLevel="0" collapsed="false">
      <c r="A77" s="47" t="s">
        <v>118</v>
      </c>
      <c r="B77" s="47" t="s">
        <v>208</v>
      </c>
      <c r="C77" s="47" t="n">
        <v>7</v>
      </c>
      <c r="D77" s="47" t="s">
        <v>277</v>
      </c>
      <c r="E77" s="1"/>
      <c r="F77" s="26" t="str">
        <f aca="false">IFERROR(IF(A77="Таллинн",INDEX(Справочник!$A$5:$A$28,MATCH(B77,Справочник!$D$5:$D$28,0)),IF(A77="Тарту",INDEX(Справочник!$A$5:$A$28,MATCH(B77,Справочник!$E$5:$E$28,0)),INDEX(Справочник!$A$5:$A$28,MATCH(B77,Справочник!$C$5:$C$28,0)))),"нет в справочнике")</f>
        <v>SD-017</v>
      </c>
      <c r="G77" s="26" t="n">
        <f aca="false">IF(F77="нет в справочнике",0,IF(D77="уп",C77*INDEX(Справочник!$F$5:$F$28,MATCH(F77,Справочник!$A$5:$A$28,0)),C77))</f>
        <v>42</v>
      </c>
    </row>
    <row r="78" customFormat="false" ht="15" hidden="false" customHeight="false" outlineLevel="0" collapsed="false">
      <c r="A78" s="48" t="s">
        <v>118</v>
      </c>
      <c r="B78" s="48" t="s">
        <v>208</v>
      </c>
      <c r="C78" s="48" t="n">
        <v>5</v>
      </c>
      <c r="D78" s="48" t="s">
        <v>276</v>
      </c>
      <c r="E78" s="1"/>
      <c r="F78" s="26" t="str">
        <f aca="false">IFERROR(IF(A78="Таллинн",INDEX(Справочник!$A$5:$A$28,MATCH(B78,Справочник!$D$5:$D$28,0)),IF(A78="Тарту",INDEX(Справочник!$A$5:$A$28,MATCH(B78,Справочник!$E$5:$E$28,0)),INDEX(Справочник!$A$5:$A$28,MATCH(B78,Справочник!$C$5:$C$28,0)))),"нет в справочнике")</f>
        <v>SD-017</v>
      </c>
      <c r="G78" s="26" t="n">
        <f aca="false">IF(F78="нет в справочнике",0,IF(D78="уп",C78*INDEX(Справочник!$F$5:$F$28,MATCH(F78,Справочник!$A$5:$A$28,0)),C78))</f>
        <v>5</v>
      </c>
    </row>
    <row r="79" customFormat="false" ht="15" hidden="false" customHeight="false" outlineLevel="0" collapsed="false">
      <c r="A79" s="47" t="s">
        <v>118</v>
      </c>
      <c r="B79" s="47" t="s">
        <v>212</v>
      </c>
      <c r="C79" s="47" t="n">
        <v>19</v>
      </c>
      <c r="D79" s="47" t="s">
        <v>276</v>
      </c>
      <c r="E79" s="1"/>
      <c r="F79" s="26" t="str">
        <f aca="false">IFERROR(IF(A79="Таллинн",INDEX(Справочник!$A$5:$A$28,MATCH(B79,Справочник!$D$5:$D$28,0)),IF(A79="Тарту",INDEX(Справочник!$A$5:$A$28,MATCH(B79,Справочник!$E$5:$E$28,0)),INDEX(Справочник!$A$5:$A$28,MATCH(B79,Справочник!$C$5:$C$28,0)))),"нет в справочнике")</f>
        <v>SD-018</v>
      </c>
      <c r="G79" s="26" t="n">
        <f aca="false">IF(F79="нет в справочнике",0,IF(D79="уп",C79*INDEX(Справочник!$F$5:$F$28,MATCH(F79,Справочник!$A$5:$A$28,0)),C79))</f>
        <v>19</v>
      </c>
    </row>
    <row r="80" customFormat="false" ht="15" hidden="false" customHeight="false" outlineLevel="0" collapsed="false">
      <c r="A80" s="48" t="s">
        <v>118</v>
      </c>
      <c r="B80" s="48" t="s">
        <v>216</v>
      </c>
      <c r="C80" s="48" t="n">
        <v>3</v>
      </c>
      <c r="D80" s="48" t="s">
        <v>277</v>
      </c>
      <c r="E80" s="1"/>
      <c r="F80" s="26" t="str">
        <f aca="false">IFERROR(IF(A80="Таллинн",INDEX(Справочник!$A$5:$A$28,MATCH(B80,Справочник!$D$5:$D$28,0)),IF(A80="Тарту",INDEX(Справочник!$A$5:$A$28,MATCH(B80,Справочник!$E$5:$E$28,0)),INDEX(Справочник!$A$5:$A$28,MATCH(B80,Справочник!$C$5:$C$28,0)))),"нет в справочнике")</f>
        <v>SD-019</v>
      </c>
      <c r="G80" s="26" t="n">
        <f aca="false">IF(F80="нет в справочнике",0,IF(D80="уп",C80*INDEX(Справочник!$F$5:$F$28,MATCH(F80,Справочник!$A$5:$A$28,0)),C80))</f>
        <v>36</v>
      </c>
    </row>
    <row r="81" customFormat="false" ht="15" hidden="false" customHeight="false" outlineLevel="0" collapsed="false">
      <c r="A81" s="47" t="s">
        <v>118</v>
      </c>
      <c r="B81" s="47" t="s">
        <v>216</v>
      </c>
      <c r="C81" s="47" t="n">
        <v>4</v>
      </c>
      <c r="D81" s="47" t="s">
        <v>276</v>
      </c>
      <c r="E81" s="1"/>
      <c r="F81" s="26" t="str">
        <f aca="false">IFERROR(IF(A81="Таллинн",INDEX(Справочник!$A$5:$A$28,MATCH(B81,Справочник!$D$5:$D$28,0)),IF(A81="Тарту",INDEX(Справочник!$A$5:$A$28,MATCH(B81,Справочник!$E$5:$E$28,0)),INDEX(Справочник!$A$5:$A$28,MATCH(B81,Справочник!$C$5:$C$28,0)))),"нет в справочнике")</f>
        <v>SD-019</v>
      </c>
      <c r="G81" s="26" t="n">
        <f aca="false">IF(F81="нет в справочнике",0,IF(D81="уп",C81*INDEX(Справочник!$F$5:$F$28,MATCH(F81,Справочник!$A$5:$A$28,0)),C81))</f>
        <v>4</v>
      </c>
    </row>
    <row r="82" customFormat="false" ht="15" hidden="false" customHeight="false" outlineLevel="0" collapsed="false">
      <c r="A82" s="48" t="s">
        <v>118</v>
      </c>
      <c r="B82" s="48" t="s">
        <v>220</v>
      </c>
      <c r="C82" s="48" t="n">
        <v>4</v>
      </c>
      <c r="D82" s="48" t="s">
        <v>277</v>
      </c>
      <c r="E82" s="1"/>
      <c r="F82" s="26" t="str">
        <f aca="false">IFERROR(IF(A82="Таллинн",INDEX(Справочник!$A$5:$A$28,MATCH(B82,Справочник!$D$5:$D$28,0)),IF(A82="Тарту",INDEX(Справочник!$A$5:$A$28,MATCH(B82,Справочник!$E$5:$E$28,0)),INDEX(Справочник!$A$5:$A$28,MATCH(B82,Справочник!$C$5:$C$28,0)))),"нет в справочнике")</f>
        <v>SD-020</v>
      </c>
      <c r="G82" s="26" t="n">
        <f aca="false">IF(F82="нет в справочнике",0,IF(D82="уп",C82*INDEX(Справочник!$F$5:$F$28,MATCH(F82,Справочник!$A$5:$A$28,0)),C82))</f>
        <v>80</v>
      </c>
    </row>
    <row r="83" customFormat="false" ht="15" hidden="false" customHeight="false" outlineLevel="0" collapsed="false">
      <c r="A83" s="47" t="s">
        <v>118</v>
      </c>
      <c r="B83" s="47" t="s">
        <v>220</v>
      </c>
      <c r="C83" s="47" t="n">
        <v>16</v>
      </c>
      <c r="D83" s="47" t="s">
        <v>276</v>
      </c>
      <c r="E83" s="1"/>
      <c r="F83" s="26" t="str">
        <f aca="false">IFERROR(IF(A83="Таллинн",INDEX(Справочник!$A$5:$A$28,MATCH(B83,Справочник!$D$5:$D$28,0)),IF(A83="Тарту",INDEX(Справочник!$A$5:$A$28,MATCH(B83,Справочник!$E$5:$E$28,0)),INDEX(Справочник!$A$5:$A$28,MATCH(B83,Справочник!$C$5:$C$28,0)))),"нет в справочнике")</f>
        <v>SD-020</v>
      </c>
      <c r="G83" s="26" t="n">
        <f aca="false">IF(F83="нет в справочнике",0,IF(D83="уп",C83*INDEX(Справочник!$F$5:$F$28,MATCH(F83,Справочник!$A$5:$A$28,0)),C83))</f>
        <v>16</v>
      </c>
    </row>
    <row r="84" customFormat="false" ht="15" hidden="false" customHeight="false" outlineLevel="0" collapsed="false">
      <c r="A84" s="48" t="s">
        <v>118</v>
      </c>
      <c r="B84" s="48" t="s">
        <v>224</v>
      </c>
      <c r="C84" s="48" t="n">
        <v>12</v>
      </c>
      <c r="D84" s="48" t="s">
        <v>276</v>
      </c>
      <c r="E84" s="1"/>
      <c r="F84" s="26" t="str">
        <f aca="false">IFERROR(IF(A84="Таллинн",INDEX(Справочник!$A$5:$A$28,MATCH(B84,Справочник!$D$5:$D$28,0)),IF(A84="Тарту",INDEX(Справочник!$A$5:$A$28,MATCH(B84,Справочник!$E$5:$E$28,0)),INDEX(Справочник!$A$5:$A$28,MATCH(B84,Справочник!$C$5:$C$28,0)))),"нет в справочнике")</f>
        <v>SD-021</v>
      </c>
      <c r="G84" s="26" t="n">
        <f aca="false">IF(F84="нет в справочнике",0,IF(D84="уп",C84*INDEX(Справочник!$F$5:$F$28,MATCH(F84,Справочник!$A$5:$A$28,0)),C84))</f>
        <v>12</v>
      </c>
    </row>
    <row r="85" customFormat="false" ht="15" hidden="false" customHeight="false" outlineLevel="0" collapsed="false">
      <c r="A85" s="47" t="s">
        <v>118</v>
      </c>
      <c r="B85" s="47" t="s">
        <v>228</v>
      </c>
      <c r="C85" s="47" t="n">
        <v>6</v>
      </c>
      <c r="D85" s="47" t="s">
        <v>277</v>
      </c>
      <c r="E85" s="1"/>
      <c r="F85" s="26" t="str">
        <f aca="false">IFERROR(IF(A85="Таллинн",INDEX(Справочник!$A$5:$A$28,MATCH(B85,Справочник!$D$5:$D$28,0)),IF(A85="Тарту",INDEX(Справочник!$A$5:$A$28,MATCH(B85,Справочник!$E$5:$E$28,0)),INDEX(Справочник!$A$5:$A$28,MATCH(B85,Справочник!$C$5:$C$28,0)))),"нет в справочнике")</f>
        <v>SD-022</v>
      </c>
      <c r="G85" s="26" t="n">
        <f aca="false">IF(F85="нет в справочнике",0,IF(D85="уп",C85*INDEX(Справочник!$F$5:$F$28,MATCH(F85,Справочник!$A$5:$A$28,0)),C85))</f>
        <v>60</v>
      </c>
    </row>
    <row r="86" customFormat="false" ht="15" hidden="false" customHeight="false" outlineLevel="0" collapsed="false">
      <c r="A86" s="48" t="s">
        <v>118</v>
      </c>
      <c r="B86" s="48" t="s">
        <v>228</v>
      </c>
      <c r="C86" s="48" t="n">
        <v>6</v>
      </c>
      <c r="D86" s="48" t="s">
        <v>276</v>
      </c>
      <c r="E86" s="1"/>
      <c r="F86" s="26" t="str">
        <f aca="false">IFERROR(IF(A86="Таллинн",INDEX(Справочник!$A$5:$A$28,MATCH(B86,Справочник!$D$5:$D$28,0)),IF(A86="Тарту",INDEX(Справочник!$A$5:$A$28,MATCH(B86,Справочник!$E$5:$E$28,0)),INDEX(Справочник!$A$5:$A$28,MATCH(B86,Справочник!$C$5:$C$28,0)))),"нет в справочнике")</f>
        <v>SD-022</v>
      </c>
      <c r="G86" s="26" t="n">
        <f aca="false">IF(F86="нет в справочнике",0,IF(D86="уп",C86*INDEX(Справочник!$F$5:$F$28,MATCH(F86,Справочник!$A$5:$A$28,0)),C86))</f>
        <v>6</v>
      </c>
    </row>
    <row r="87" customFormat="false" ht="15" hidden="false" customHeight="false" outlineLevel="0" collapsed="false">
      <c r="A87" s="47" t="s">
        <v>118</v>
      </c>
      <c r="B87" s="47" t="s">
        <v>233</v>
      </c>
      <c r="C87" s="47" t="n">
        <v>3</v>
      </c>
      <c r="D87" s="47" t="s">
        <v>277</v>
      </c>
      <c r="E87" s="1"/>
      <c r="F87" s="26" t="str">
        <f aca="false">IFERROR(IF(A87="Таллинн",INDEX(Справочник!$A$5:$A$28,MATCH(B87,Справочник!$D$5:$D$28,0)),IF(A87="Тарту",INDEX(Справочник!$A$5:$A$28,MATCH(B87,Справочник!$E$5:$E$28,0)),INDEX(Справочник!$A$5:$A$28,MATCH(B87,Справочник!$C$5:$C$28,0)))),"нет в справочнике")</f>
        <v>SD-023</v>
      </c>
      <c r="G87" s="26" t="n">
        <f aca="false">IF(F87="нет в справочнике",0,IF(D87="уп",C87*INDEX(Справочник!$F$5:$F$28,MATCH(F87,Справочник!$A$5:$A$28,0)),C87))</f>
        <v>60</v>
      </c>
    </row>
    <row r="88" customFormat="false" ht="15" hidden="false" customHeight="false" outlineLevel="0" collapsed="false">
      <c r="A88" s="48" t="s">
        <v>118</v>
      </c>
      <c r="B88" s="48" t="s">
        <v>233</v>
      </c>
      <c r="C88" s="48" t="n">
        <v>16</v>
      </c>
      <c r="D88" s="48" t="s">
        <v>276</v>
      </c>
      <c r="E88" s="1"/>
      <c r="F88" s="26" t="str">
        <f aca="false">IFERROR(IF(A88="Таллинн",INDEX(Справочник!$A$5:$A$28,MATCH(B88,Справочник!$D$5:$D$28,0)),IF(A88="Тарту",INDEX(Справочник!$A$5:$A$28,MATCH(B88,Справочник!$E$5:$E$28,0)),INDEX(Справочник!$A$5:$A$28,MATCH(B88,Справочник!$C$5:$C$28,0)))),"нет в справочнике")</f>
        <v>SD-023</v>
      </c>
      <c r="G88" s="26" t="n">
        <f aca="false">IF(F88="нет в справочнике",0,IF(D88="уп",C88*INDEX(Справочник!$F$5:$F$28,MATCH(F88,Справочник!$A$5:$A$28,0)),C88))</f>
        <v>16</v>
      </c>
    </row>
    <row r="89" customFormat="false" ht="15" hidden="false" customHeight="false" outlineLevel="0" collapsed="false">
      <c r="A89" s="47" t="s">
        <v>118</v>
      </c>
      <c r="B89" s="47" t="s">
        <v>237</v>
      </c>
      <c r="C89" s="47" t="n">
        <v>3</v>
      </c>
      <c r="D89" s="47" t="s">
        <v>277</v>
      </c>
      <c r="E89" s="1"/>
      <c r="F89" s="26" t="str">
        <f aca="false">IFERROR(IF(A89="Таллинн",INDEX(Справочник!$A$5:$A$28,MATCH(B89,Справочник!$D$5:$D$28,0)),IF(A89="Тарту",INDEX(Справочник!$A$5:$A$28,MATCH(B89,Справочник!$E$5:$E$28,0)),INDEX(Справочник!$A$5:$A$28,MATCH(B89,Справочник!$C$5:$C$28,0)))),"нет в справочнике")</f>
        <v>SD-024</v>
      </c>
      <c r="G89" s="26" t="n">
        <f aca="false">IF(F89="нет в справочнике",0,IF(D89="уп",C89*INDEX(Справочник!$F$5:$F$28,MATCH(F89,Справочник!$A$5:$A$28,0)),C89))</f>
        <v>75</v>
      </c>
    </row>
    <row r="90" customFormat="false" ht="15" hidden="false" customHeight="false" outlineLevel="0" collapsed="false">
      <c r="A90" s="48" t="s">
        <v>118</v>
      </c>
      <c r="B90" s="48" t="s">
        <v>237</v>
      </c>
      <c r="C90" s="48" t="n">
        <v>4</v>
      </c>
      <c r="D90" s="48" t="s">
        <v>276</v>
      </c>
      <c r="E90" s="1"/>
      <c r="F90" s="26" t="str">
        <f aca="false">IFERROR(IF(A90="Таллинн",INDEX(Справочник!$A$5:$A$28,MATCH(B90,Справочник!$D$5:$D$28,0)),IF(A90="Тарту",INDEX(Справочник!$A$5:$A$28,MATCH(B90,Справочник!$E$5:$E$28,0)),INDEX(Справочник!$A$5:$A$28,MATCH(B90,Справочник!$C$5:$C$28,0)))),"нет в справочнике")</f>
        <v>SD-024</v>
      </c>
      <c r="G90" s="26" t="n">
        <f aca="false">IF(F90="нет в справочнике",0,IF(D90="уп",C90*INDEX(Справочник!$F$5:$F$28,MATCH(F90,Справочник!$A$5:$A$28,0)),C90))</f>
        <v>4</v>
      </c>
    </row>
    <row r="91" customFormat="false" ht="15" hidden="false" customHeight="false" outlineLevel="0" collapsed="false">
      <c r="A91" s="47" t="s">
        <v>111</v>
      </c>
      <c r="B91" s="47" t="s">
        <v>278</v>
      </c>
      <c r="C91" s="47" t="n">
        <v>14</v>
      </c>
      <c r="D91" s="47" t="s">
        <v>276</v>
      </c>
      <c r="E91" s="1"/>
      <c r="F91" s="26" t="str">
        <f aca="false">IFERROR(IF(A91="Таллинн",INDEX(Справочник!$A$5:$A$28,MATCH(B91,Справочник!$D$5:$D$28,0)),IF(A91="Тарту",INDEX(Справочник!$A$5:$A$28,MATCH(B91,Справочник!$E$5:$E$28,0)),INDEX(Справочник!$A$5:$A$28,MATCH(B91,Справочник!$C$5:$C$28,0)))),"нет в справочнике")</f>
        <v>нет в справочнике</v>
      </c>
      <c r="G91" s="26" t="n">
        <f aca="false">IF(F91="нет в справочнике",0,IF(D91="уп",C91*INDEX(Справочник!$F$5:$F$28,MATCH(F91,Справочник!$A$5:$A$28,0)),C91))</f>
        <v>0</v>
      </c>
    </row>
  </sheetData>
  <autoFilter ref="A4:G91"/>
  <conditionalFormatting sqref="A5:G91">
    <cfRule type="expression" priority="2" aboveAverage="0" equalAverage="0" bottom="0" percent="0" rank="0" text="" dxfId="16">
      <formula>$F5="нет в справочнике"</formula>
    </cfRule>
  </conditionalFormatting>
  <conditionalFormatting sqref="D5:D91">
    <cfRule type="expression" priority="3" aboveAverage="0" equalAverage="0" bottom="0" percent="0" rank="0" text="" dxfId="18">
      <formula>$D5="уп"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C9A6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90"/>
  </cols>
  <sheetData>
    <row r="1" customFormat="false" ht="25.5" hidden="false" customHeight="true" outlineLevel="0" collapsed="false">
      <c r="A1" s="1"/>
      <c r="B1" s="2" t="s">
        <v>279</v>
      </c>
      <c r="C1" s="1"/>
    </row>
    <row r="2" customFormat="false" ht="15" hidden="false" customHeight="false" outlineLevel="0" collapsed="false">
      <c r="A2" s="1"/>
      <c r="B2" s="3" t="s">
        <v>280</v>
      </c>
      <c r="C2" s="1"/>
    </row>
    <row r="3" customFormat="false" ht="15" hidden="false" customHeight="false" outlineLevel="0" collapsed="false">
      <c r="A3" s="1"/>
      <c r="B3" s="1"/>
      <c r="C3" s="1"/>
    </row>
    <row r="4" customFormat="false" ht="33.75" hidden="false" customHeight="true" outlineLevel="0" collapsed="false">
      <c r="A4" s="1"/>
      <c r="B4" s="49" t="n">
        <v>1</v>
      </c>
      <c r="C4" s="50" t="s">
        <v>281</v>
      </c>
    </row>
    <row r="5" customFormat="false" ht="33.75" hidden="false" customHeight="true" outlineLevel="0" collapsed="false">
      <c r="A5" s="1"/>
      <c r="B5" s="49" t="n">
        <v>2</v>
      </c>
      <c r="C5" s="50" t="s">
        <v>282</v>
      </c>
    </row>
    <row r="6" customFormat="false" ht="33.75" hidden="false" customHeight="true" outlineLevel="0" collapsed="false">
      <c r="A6" s="1"/>
      <c r="B6" s="49" t="n">
        <v>3</v>
      </c>
      <c r="C6" s="50" t="s">
        <v>283</v>
      </c>
    </row>
    <row r="7" customFormat="false" ht="33.75" hidden="false" customHeight="true" outlineLevel="0" collapsed="false">
      <c r="A7" s="1"/>
      <c r="B7" s="49" t="n">
        <v>4</v>
      </c>
      <c r="C7" s="50" t="s">
        <v>284</v>
      </c>
    </row>
    <row r="8" customFormat="false" ht="33.75" hidden="false" customHeight="true" outlineLevel="0" collapsed="false">
      <c r="A8" s="1"/>
      <c r="B8" s="49" t="n">
        <v>5</v>
      </c>
      <c r="C8" s="50" t="s">
        <v>285</v>
      </c>
    </row>
    <row r="9" customFormat="false" ht="33.75" hidden="false" customHeight="true" outlineLevel="0" collapsed="false">
      <c r="A9" s="1"/>
      <c r="B9" s="49" t="n">
        <v>6</v>
      </c>
      <c r="C9" s="50" t="s">
        <v>286</v>
      </c>
    </row>
    <row r="10" customFormat="false" ht="33.75" hidden="false" customHeight="true" outlineLevel="0" collapsed="false">
      <c r="A10" s="1"/>
      <c r="B10" s="49" t="n">
        <v>7</v>
      </c>
      <c r="C10" s="50" t="s">
        <v>287</v>
      </c>
    </row>
    <row r="11" customFormat="false" ht="15" hidden="false" customHeight="false" outlineLevel="0" collapsed="false">
      <c r="A11" s="1"/>
      <c r="B11" s="1"/>
      <c r="C11" s="1"/>
    </row>
    <row r="12" customFormat="false" ht="15" hidden="false" customHeight="true" outlineLevel="0" collapsed="false">
      <c r="A12" s="1"/>
      <c r="B12" s="51" t="s">
        <v>288</v>
      </c>
      <c r="C12" s="51"/>
    </row>
  </sheetData>
  <mergeCells count="1">
    <mergeCell ref="B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2026-10-14T16:32:28Z</dcterms:created>
  <dc:creator>openpyxl</dc:creator>
  <dc:description/>
  <dc:language>en-US</dc:language>
  <cp:lastModifiedBy/>
  <dcterms:modified xsi:type="dcterms:W3CDTF">2026-10-14T19:32:31Z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